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8_Forening og Bestyrelse/02_Bestyrelse/A Møder og referater/Moedeindkald 2024/Bestyrelsesmøde 2024.10.31/Bilag/"/>
    </mc:Choice>
  </mc:AlternateContent>
  <xr:revisionPtr revIDLastSave="1306" documentId="8_{35CCB413-DAAF-4843-A29C-635DE46264C4}" xr6:coauthVersionLast="47" xr6:coauthVersionMax="47" xr10:uidLastSave="{3C9A99ED-86D6-4D87-91B1-562A7C84C0C0}"/>
  <bookViews>
    <workbookView xWindow="-108" yWindow="-108" windowWidth="23256" windowHeight="12456" activeTab="1" xr2:uid="{D110894D-D4D8-4919-8443-1B3A85078BE7}"/>
  </bookViews>
  <sheets>
    <sheet name="Model 0" sheetId="13" r:id="rId1"/>
    <sheet name="Model A" sheetId="14" r:id="rId2"/>
    <sheet name="Model B" sheetId="15" r:id="rId3"/>
    <sheet name="Model C" sheetId="16" r:id="rId4"/>
    <sheet name="2025 alle modeller" sheetId="17" r:id="rId5"/>
    <sheet name="2026 alle modeller" sheetId="18" r:id="rId6"/>
    <sheet name="Programoversigt" sheetId="11" r:id="rId7"/>
  </sheets>
  <definedNames>
    <definedName name="_xlnm._FilterDatabase" localSheetId="6" hidden="1">Programoversigt!$A$2:$G$18</definedName>
    <definedName name="_xlnm.Print_Area" localSheetId="6">Programoversigt!$A:$G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4" l="1"/>
  <c r="D13" i="18"/>
  <c r="F11" i="15"/>
  <c r="B5" i="15"/>
  <c r="B4" i="15"/>
  <c r="B3" i="15"/>
  <c r="F5" i="15"/>
  <c r="F4" i="15"/>
  <c r="F3" i="15"/>
  <c r="I5" i="15"/>
  <c r="I4" i="15"/>
  <c r="I3" i="15"/>
  <c r="E5" i="15"/>
  <c r="E4" i="15"/>
  <c r="E3" i="15"/>
  <c r="C13" i="17"/>
  <c r="B19" i="13"/>
  <c r="B20" i="13" l="1"/>
  <c r="J7" i="15" l="1"/>
  <c r="N14" i="16"/>
  <c r="M7" i="14"/>
  <c r="D25" i="13" l="1"/>
  <c r="J25" i="13"/>
  <c r="G25" i="13"/>
  <c r="D9" i="13"/>
  <c r="D8" i="13"/>
  <c r="N14" i="15"/>
  <c r="K14" i="15"/>
  <c r="K14" i="16"/>
  <c r="G14" i="16"/>
  <c r="C14" i="16"/>
  <c r="G14" i="15"/>
  <c r="C14" i="15"/>
  <c r="F7" i="15"/>
  <c r="N14" i="14"/>
  <c r="K14" i="14"/>
  <c r="D26" i="13"/>
  <c r="G14" i="14"/>
  <c r="J10" i="14"/>
  <c r="F7" i="14"/>
  <c r="M10" i="14"/>
  <c r="K10" i="13"/>
  <c r="H10" i="13"/>
  <c r="K8" i="13"/>
  <c r="H8" i="13"/>
  <c r="K9" i="13"/>
  <c r="H9" i="13"/>
  <c r="M16" i="13"/>
  <c r="M18" i="13"/>
  <c r="J18" i="13"/>
  <c r="K19" i="13"/>
  <c r="H19" i="13"/>
  <c r="G18" i="13"/>
  <c r="G10" i="13"/>
  <c r="J10" i="13" s="1"/>
  <c r="M10" i="13" s="1"/>
  <c r="G9" i="13"/>
  <c r="J9" i="13" s="1"/>
  <c r="M9" i="13" s="1"/>
  <c r="G8" i="13"/>
  <c r="J8" i="13" s="1"/>
  <c r="M8" i="13" s="1"/>
  <c r="H15" i="13"/>
  <c r="G20" i="11"/>
  <c r="G19" i="11"/>
  <c r="J7" i="14" s="1"/>
  <c r="E12" i="13"/>
  <c r="F20" i="11"/>
  <c r="F10" i="15" s="1"/>
  <c r="F19" i="11"/>
  <c r="F7" i="16" s="1"/>
  <c r="G18" i="11"/>
  <c r="F18" i="11"/>
  <c r="D18" i="13"/>
  <c r="D10" i="13"/>
  <c r="K15" i="13"/>
  <c r="B31" i="13"/>
  <c r="C26" i="13" s="1"/>
  <c r="F17" i="16" l="1"/>
  <c r="F3" i="16" s="1"/>
  <c r="E13" i="13"/>
  <c r="F10" i="16"/>
  <c r="F10" i="14"/>
  <c r="F17" i="14" s="1"/>
  <c r="E15" i="13"/>
  <c r="F8" i="16"/>
  <c r="M7" i="16" s="1"/>
  <c r="M17" i="16" s="1"/>
  <c r="M13" i="16" s="1"/>
  <c r="F4" i="16"/>
  <c r="F17" i="15"/>
  <c r="F13" i="15" s="1"/>
  <c r="C14" i="14"/>
  <c r="C25" i="13"/>
  <c r="C30" i="13"/>
  <c r="C29" i="13"/>
  <c r="C27" i="13"/>
  <c r="C31" i="13"/>
  <c r="E16" i="11"/>
  <c r="E17" i="11"/>
  <c r="E10" i="11"/>
  <c r="E11" i="11"/>
  <c r="E12" i="11"/>
  <c r="E13" i="11"/>
  <c r="E14" i="11"/>
  <c r="E15" i="11"/>
  <c r="E9" i="11"/>
  <c r="E8" i="11"/>
  <c r="E7" i="11"/>
  <c r="E19" i="11" s="1"/>
  <c r="E4" i="11"/>
  <c r="E5" i="11"/>
  <c r="E6" i="11"/>
  <c r="E3" i="11"/>
  <c r="F13" i="14" l="1"/>
  <c r="F3" i="14"/>
  <c r="J3" i="14" s="1"/>
  <c r="F4" i="14"/>
  <c r="M4" i="14" s="1"/>
  <c r="B7" i="15"/>
  <c r="B7" i="14"/>
  <c r="D7" i="14" s="1"/>
  <c r="B12" i="13"/>
  <c r="B7" i="16"/>
  <c r="F5" i="16"/>
  <c r="F14" i="16" s="1"/>
  <c r="F13" i="16"/>
  <c r="E20" i="11"/>
  <c r="E18" i="11"/>
  <c r="M4" i="16"/>
  <c r="M5" i="16"/>
  <c r="M8" i="16"/>
  <c r="J7" i="16"/>
  <c r="M3" i="16"/>
  <c r="F8" i="15"/>
  <c r="F5" i="14"/>
  <c r="I5" i="14" s="1"/>
  <c r="L5" i="14" s="1"/>
  <c r="O5" i="14" s="1"/>
  <c r="J4" i="14"/>
  <c r="I4" i="14"/>
  <c r="L4" i="14" s="1"/>
  <c r="O4" i="14" s="1"/>
  <c r="M3" i="14"/>
  <c r="I3" i="14"/>
  <c r="L3" i="14" s="1"/>
  <c r="O3" i="14" s="1"/>
  <c r="I4" i="16"/>
  <c r="L4" i="16" s="1"/>
  <c r="O4" i="16" s="1"/>
  <c r="I8" i="16"/>
  <c r="J10" i="16"/>
  <c r="I3" i="16"/>
  <c r="L3" i="16" s="1"/>
  <c r="O3" i="16" s="1"/>
  <c r="M13" i="15"/>
  <c r="J17" i="16" l="1"/>
  <c r="I5" i="16"/>
  <c r="L5" i="16" s="1"/>
  <c r="O5" i="16" s="1"/>
  <c r="B15" i="13"/>
  <c r="C9" i="13" s="1"/>
  <c r="B10" i="15"/>
  <c r="B10" i="16"/>
  <c r="B10" i="14"/>
  <c r="B17" i="14" s="1"/>
  <c r="H4" i="16"/>
  <c r="H5" i="16"/>
  <c r="H13" i="16"/>
  <c r="H14" i="16"/>
  <c r="H7" i="16"/>
  <c r="H3" i="16"/>
  <c r="H8" i="16"/>
  <c r="H10" i="16"/>
  <c r="F14" i="15"/>
  <c r="M7" i="15"/>
  <c r="I8" i="15"/>
  <c r="M10" i="15"/>
  <c r="M17" i="15" s="1"/>
  <c r="J10" i="15"/>
  <c r="M5" i="14"/>
  <c r="J5" i="14"/>
  <c r="J5" i="16"/>
  <c r="J4" i="16"/>
  <c r="J3" i="16"/>
  <c r="J13" i="16"/>
  <c r="M14" i="16"/>
  <c r="C18" i="13" l="1"/>
  <c r="C15" i="13"/>
  <c r="C12" i="13"/>
  <c r="C19" i="13"/>
  <c r="C8" i="13"/>
  <c r="C10" i="13"/>
  <c r="B17" i="16"/>
  <c r="B17" i="15"/>
  <c r="B3" i="14"/>
  <c r="B5" i="14"/>
  <c r="B4" i="14"/>
  <c r="B13" i="14"/>
  <c r="H5" i="15"/>
  <c r="H4" i="15"/>
  <c r="H7" i="15"/>
  <c r="H3" i="15"/>
  <c r="H8" i="15"/>
  <c r="H10" i="15"/>
  <c r="H11" i="15"/>
  <c r="H13" i="15"/>
  <c r="H14" i="15"/>
  <c r="J14" i="16"/>
  <c r="J17" i="15"/>
  <c r="M11" i="15"/>
  <c r="M4" i="15"/>
  <c r="O4" i="15" s="1"/>
  <c r="M5" i="15"/>
  <c r="O5" i="15" s="1"/>
  <c r="M8" i="15"/>
  <c r="O8" i="15" s="1"/>
  <c r="M3" i="15"/>
  <c r="E20" i="13"/>
  <c r="F8" i="13" s="1"/>
  <c r="H12" i="13"/>
  <c r="H20" i="13" s="1"/>
  <c r="K12" i="13"/>
  <c r="K13" i="13" s="1"/>
  <c r="M13" i="13" s="1"/>
  <c r="G13" i="13"/>
  <c r="C20" i="13" l="1"/>
  <c r="B14" i="14"/>
  <c r="D10" i="14" s="1"/>
  <c r="D5" i="14"/>
  <c r="E5" i="14"/>
  <c r="B13" i="15"/>
  <c r="D4" i="14"/>
  <c r="E4" i="14"/>
  <c r="B13" i="16"/>
  <c r="B5" i="16"/>
  <c r="B3" i="16"/>
  <c r="B4" i="16"/>
  <c r="O3" i="15"/>
  <c r="M14" i="15"/>
  <c r="J13" i="15"/>
  <c r="J4" i="15"/>
  <c r="L4" i="15" s="1"/>
  <c r="J3" i="15"/>
  <c r="L3" i="15" s="1"/>
  <c r="J5" i="15"/>
  <c r="L5" i="15" s="1"/>
  <c r="F15" i="13"/>
  <c r="F9" i="13"/>
  <c r="F19" i="13"/>
  <c r="F10" i="13"/>
  <c r="F13" i="13"/>
  <c r="I18" i="13"/>
  <c r="I19" i="13"/>
  <c r="F12" i="13"/>
  <c r="F18" i="13"/>
  <c r="I12" i="13"/>
  <c r="I8" i="13"/>
  <c r="I10" i="13"/>
  <c r="I15" i="13"/>
  <c r="I9" i="13"/>
  <c r="D3" i="14" l="1"/>
  <c r="D13" i="14"/>
  <c r="E4" i="16"/>
  <c r="B14" i="16"/>
  <c r="E3" i="16"/>
  <c r="E5" i="16"/>
  <c r="D14" i="14"/>
  <c r="B14" i="15"/>
  <c r="D4" i="15" s="1"/>
  <c r="F20" i="13"/>
  <c r="K20" i="13"/>
  <c r="L13" i="13" s="1"/>
  <c r="I20" i="13"/>
  <c r="D13" i="15" l="1"/>
  <c r="D7" i="16"/>
  <c r="D8" i="16"/>
  <c r="D14" i="16"/>
  <c r="D10" i="16"/>
  <c r="D7" i="15"/>
  <c r="D14" i="15"/>
  <c r="D10" i="15"/>
  <c r="D3" i="15"/>
  <c r="D13" i="16"/>
  <c r="D4" i="16"/>
  <c r="D5" i="16"/>
  <c r="D3" i="16"/>
  <c r="D5" i="15"/>
  <c r="L8" i="13"/>
  <c r="L19" i="13"/>
  <c r="L18" i="13"/>
  <c r="L12" i="13"/>
  <c r="L16" i="13"/>
  <c r="L10" i="13"/>
  <c r="L9" i="13"/>
  <c r="L20" i="13" l="1"/>
  <c r="M13" i="14" l="1"/>
  <c r="F14" i="14"/>
  <c r="J13" i="14"/>
  <c r="J14" i="14" s="1"/>
  <c r="J14" i="15"/>
  <c r="M8" i="14" l="1"/>
  <c r="M14" i="14" s="1"/>
  <c r="H5" i="14"/>
  <c r="H7" i="14"/>
  <c r="H14" i="14"/>
  <c r="H10" i="14"/>
  <c r="H13" i="14"/>
  <c r="H3" i="14"/>
  <c r="H4" i="14"/>
</calcChain>
</file>

<file path=xl/sharedStrings.xml><?xml version="1.0" encoding="utf-8"?>
<sst xmlns="http://schemas.openxmlformats.org/spreadsheetml/2006/main" count="292" uniqueCount="144">
  <si>
    <t>Civilsamfundspuljen modalitet</t>
  </si>
  <si>
    <t>% af total</t>
  </si>
  <si>
    <t>Overslag 2026</t>
  </si>
  <si>
    <t>Overslag 2027</t>
  </si>
  <si>
    <t>Overslag 2028</t>
  </si>
  <si>
    <t>Små projekter (&lt; 150.000)</t>
  </si>
  <si>
    <t>Store projekter (&lt; 700.000)</t>
  </si>
  <si>
    <t>Små programmer (&lt; 4 mio. kr.)</t>
  </si>
  <si>
    <t>Kørende Mellem Programmer (disponeret)</t>
  </si>
  <si>
    <t>Kørende Store programmer (disponeret)</t>
  </si>
  <si>
    <t>Kapacitetsanalyser</t>
  </si>
  <si>
    <t>Samfinansiering og støtte til Ansøgningsproces</t>
  </si>
  <si>
    <t>Total CSP bevillingstilsagn</t>
  </si>
  <si>
    <t>CSP puljemidler pr. år 2025-2028 (ESTIMAT)</t>
  </si>
  <si>
    <t>Revideret Budget 2024</t>
  </si>
  <si>
    <t>SI + MI - CSP Basis</t>
  </si>
  <si>
    <t>Udviklingsindsatser - CSP Basis</t>
  </si>
  <si>
    <t>Program</t>
  </si>
  <si>
    <t>Program Reviews-konceptnoter</t>
  </si>
  <si>
    <t xml:space="preserve">I alt </t>
  </si>
  <si>
    <t>Journalnummer</t>
  </si>
  <si>
    <t>Organisation</t>
  </si>
  <si>
    <t>Bevillingsdato</t>
  </si>
  <si>
    <t>Bevilliget beløb</t>
  </si>
  <si>
    <t>Bevilliget beløb 2025</t>
  </si>
  <si>
    <t>Bevilliget beløb 2026</t>
  </si>
  <si>
    <t>Bevilliget beløb 2027</t>
  </si>
  <si>
    <t>21-3638-CSP-PR</t>
  </si>
  <si>
    <t>Axis</t>
  </si>
  <si>
    <t>21-3632-CSP-PR</t>
  </si>
  <si>
    <t>AIDS-Fondet</t>
  </si>
  <si>
    <t>21-3577-CSP-PR</t>
  </si>
  <si>
    <t>Dansk Ornitologisk Forening (DOF)</t>
  </si>
  <si>
    <t>21-3637-CSP-PR</t>
  </si>
  <si>
    <t>International Børnesolidaritet</t>
  </si>
  <si>
    <t>21-3631-CSP-PR</t>
  </si>
  <si>
    <t>International Aid Services (IAS)</t>
  </si>
  <si>
    <t>21-3634-CSP-PR</t>
  </si>
  <si>
    <t>Dansk Folkehjælp - DFH</t>
  </si>
  <si>
    <t>23-4927-CSP-PR</t>
  </si>
  <si>
    <t>Dreamtown</t>
  </si>
  <si>
    <t>23-4955-CSP-PR</t>
  </si>
  <si>
    <t>iiINTERest</t>
  </si>
  <si>
    <t>23-4937-CSP-PR</t>
  </si>
  <si>
    <t>Økologisk Landsforening</t>
  </si>
  <si>
    <t>23-4933-CSP-PR</t>
  </si>
  <si>
    <t>Orangutang Fonden/Save the Orangutan</t>
  </si>
  <si>
    <t>23-4962-CSP-PR</t>
  </si>
  <si>
    <t>Friluftsrådet</t>
  </si>
  <si>
    <t>23-4944-CSP-PR</t>
  </si>
  <si>
    <t>Viva Danmark</t>
  </si>
  <si>
    <t>23-4963-CSP-PR</t>
  </si>
  <si>
    <t>Ghana Venskab</t>
  </si>
  <si>
    <t>23-4966-CSP-PR</t>
  </si>
  <si>
    <t>Kræftens Bekæmpelse</t>
  </si>
  <si>
    <t>23-4964-CSP-PR</t>
  </si>
  <si>
    <t>VedvarendeEnergi</t>
  </si>
  <si>
    <t>Total disponeret</t>
  </si>
  <si>
    <t>Disponeret til mellemstore programmer</t>
  </si>
  <si>
    <t>Disponeret til store programmer</t>
  </si>
  <si>
    <t>De beskrevne disponeringer i det ovenstående i DKK ( i alt 148 mio. kr.) ligger udenfor den budgetmæssige ramme for CSP i september-udkast til Finanslov 2025 og det kommende afledte rulleplansbudget 2025 ff. Derfor er beløbene i DKK i det ovenstående med forbehold for den endelige Finanslov 2025 samt rulleplansbudgettet. Beløbene er anvendt for at illustrere hvorledes den % vise fordeling vil se ud i DKK.</t>
  </si>
  <si>
    <t>Civilsamfundspuljen modaliteter (inkl. justeringer)</t>
  </si>
  <si>
    <t>Til dagsordenens punkt 3</t>
  </si>
  <si>
    <t>Bilag 3.1.a. CSP Basis Tilsagn 2025 og 2026-2028 overslag</t>
  </si>
  <si>
    <t>"Nye" Mellem Programmer (&lt; 3,75 mio. kr./år)</t>
  </si>
  <si>
    <t>"Nye" Store Programmer (&gt; 3,75 mio. kr./år)</t>
  </si>
  <si>
    <t>3,5&amp;10</t>
  </si>
  <si>
    <t>1&amp;5</t>
  </si>
  <si>
    <t>Max antal</t>
  </si>
  <si>
    <t>Model A:</t>
  </si>
  <si>
    <t>1. Små projekter: 10 %</t>
  </si>
  <si>
    <t>2. Store projekter: 20 %</t>
  </si>
  <si>
    <t>3. Små programmer: 60 %</t>
  </si>
  <si>
    <t>4. Mellem programmer: 0 % (Pause i to år)</t>
  </si>
  <si>
    <t>5. Store programmer: 0 % (Pause i to år)</t>
  </si>
  <si>
    <t>6. Samfinanciering: 10 %</t>
  </si>
  <si>
    <t>7&amp;10</t>
  </si>
  <si>
    <t>CSP puljemidler til disposition</t>
  </si>
  <si>
    <t>Min antal</t>
  </si>
  <si>
    <t xml:space="preserve">Konsekvenser for 2025: </t>
  </si>
  <si>
    <t>Små programmer ville ligge på samme niveau som Udviklingsindsatser i dag, hvorved presset ville forblive massivt på denne støtteform.</t>
  </si>
  <si>
    <t>Allerede bevilligede programmer ville fortsætte. Der vil ikke bevilliges nye programmer i 2025.</t>
  </si>
  <si>
    <t>Samfinansiering vil blive firedoblet, hvilket for nogle organisationer ville gøre det attraktivt at søge mod denne modalitet.</t>
  </si>
  <si>
    <t>Konsekvenser for 2026 og 2027:</t>
  </si>
  <si>
    <t xml:space="preserve">Programmodaliteten vil være fastfrosset, og de 6 tidligere programorganisationer vil søge små programmer og presset vil således flyttes til denne støtteform. </t>
  </si>
  <si>
    <t>De 15 mio. kr. der bliver tilført støtteformen modsvarer ikke presset på den (ca. 26 mio. kr. hvis nuværende programmer søger samme beløb som i dag.)</t>
  </si>
  <si>
    <t>Model B:</t>
  </si>
  <si>
    <t>1. Små projekter: 5 %</t>
  </si>
  <si>
    <t>2. Store projekter: 15 %</t>
  </si>
  <si>
    <t>3. Små programmer: 50 %</t>
  </si>
  <si>
    <t>4. Mellem programmer: 15 %</t>
  </si>
  <si>
    <t>5. Store programmer: 5 %</t>
  </si>
  <si>
    <t>Små programmer vil ligge på niveau med Udviklingsindsatser i dag. Presset ville forblive massivt på denne støtteform.</t>
  </si>
  <si>
    <t xml:space="preserve">De 6 tidligere programorganisationer vil søge mellem eller stort program, hvor der er midler til 5 stk., hvis organisationerne søger max-beløb. </t>
  </si>
  <si>
    <t xml:space="preserve">Presset fra programansøgere, der får afslag, vil således flyttes til små programmer, der fortsat er under pres. </t>
  </si>
  <si>
    <t>Samfinansiering vil blive ottedoblet, hvilket for nogle organisationer ville gøre det attraktivt at søge mod denne modalitet.</t>
  </si>
  <si>
    <t>Model C:</t>
  </si>
  <si>
    <t>1. Små projekter: 7 %</t>
  </si>
  <si>
    <t>2. Store projekter: 23 %</t>
  </si>
  <si>
    <t>4. Mellem programmer: 10 %</t>
  </si>
  <si>
    <t>5. Store programmer: 0 %</t>
  </si>
  <si>
    <t>Små programmer ville blive hævet med ca. 15 mio. kr. ift. Udviklingsindsatser i dag, hvilket ville muliggøre ca. 4 nye små programmer. Presset ville forblive på denne støtteform.</t>
  </si>
  <si>
    <t>Små programmer vil ligge på niveau med Udviklingsindsatser i dag. Presset ville forblive på denne støtteform.</t>
  </si>
  <si>
    <t>Konsekvenser for 2026:</t>
  </si>
  <si>
    <t xml:space="preserve">Konsekvenser for 2027: </t>
  </si>
  <si>
    <t>OBS: Der er ikke yderligere programoptag i 2027, så de 20 % allokeret til mellem og store programmer er fordelt på projekter med 10 % og små programmer med 10 %.</t>
  </si>
  <si>
    <t>OBS: Der er ikke yderligere programoptag i 2025, så de 10 % allokeret til mellem og store programmer er fordelt på store projekter med 5 % og små programmer med 5 %.</t>
  </si>
  <si>
    <t>Små programmer ville ligge 10 mio. kr. under niveauet på Udviklingsindsatser i dag, hvorved presset ville forblive massivt på denne støtteform.</t>
  </si>
  <si>
    <t>Samfinansiering vil blive seksdoblet, hvilket for nogle organisationer ville gøre det attraktivt at søge mod denne modalitet.</t>
  </si>
  <si>
    <t xml:space="preserve">De 6 tidligere programorganisationer vil søge mellem program, hvor der er midler til 3 stk., hvis organisationerne søger max-beløb. </t>
  </si>
  <si>
    <t>Udkast baseret på diskussion på bestyrelsesmødet på Askov 13/9</t>
  </si>
  <si>
    <t>Små indsatser</t>
  </si>
  <si>
    <t>Medborger</t>
  </si>
  <si>
    <t>Projektmodaliteten ville ligge på samme niveau som i dag. Hvor CISU har kunnet bevillige ca. 73 projekter i dag, vil denne fordeling give samlet 71 projekter.</t>
  </si>
  <si>
    <t>Projektmodaliteten ville blive beskåret ift. i dag. Hvor CISU har kunnet bevillige ca. 73 projekter i dag, vil denne fordeling give 65 projekter.</t>
  </si>
  <si>
    <t>Projektmodaliteten ville blive løftet ift. niveau i dag. Hvor CISU har kunnet bevillige ca. 73 projekter i dag, vil denne fordeling give 80 projekter.</t>
  </si>
  <si>
    <t>Projektmodaliteten ville blive beskåret. Hvor CISU har kunnet bevillige ca. 73 projekter i dag, vil denne fordeling give samlet 46 projekter. Der vil dog være tale om større projekter end medborgerindsatserne (fra 500.000 kr. til 700.000 kr.)</t>
  </si>
  <si>
    <t>Projektmodaliteten ville blive boostet ift. 2025, men vil stadig ikke ligge på 2024-niveau.</t>
  </si>
  <si>
    <t>Små programmer ville blive hævet med ca. 9 mio. kr. ift. Udviklingsindsatser i dag, hvilket ville muliggøre ca. 2 nye små programmer. Presset ville forblive på denne støtteform.</t>
  </si>
  <si>
    <t>Samfinansiering vil blive tredoblet, og ansøgere formodes at søge mod denne modalitet.</t>
  </si>
  <si>
    <t>6. Samfinansiering, støtte til ansøgningsproces, kapacitetsanalyser: 10 %</t>
  </si>
  <si>
    <t>Samfinansiering, støtte til Ansøgningsproces og Kapacitetsanalyser</t>
  </si>
  <si>
    <t>2-3</t>
  </si>
  <si>
    <t>Budget 2025</t>
  </si>
  <si>
    <t>Model 0</t>
  </si>
  <si>
    <t>Model A</t>
  </si>
  <si>
    <t>Model B</t>
  </si>
  <si>
    <t>Model C</t>
  </si>
  <si>
    <t>%-mål</t>
  </si>
  <si>
    <t>Samfinansiering, støtte til Ansøgningsproces og kapacitetsanalyser</t>
  </si>
  <si>
    <t>OBS: Der er ikke yderligere programoptag i 2025, så de 20 % allokeret til mellem og store programmer er fordelt til små programmer i 2025.</t>
  </si>
  <si>
    <t>Antallet af projekter ville ligge væsentligt lavere end i dag. Hvor CISU har kunnet bevillige ca. 73 projekter i dag, vil denne fordeling give i alt 41 projekter.</t>
  </si>
  <si>
    <t>Modeller for budget 2025</t>
  </si>
  <si>
    <t>Modeller for overslag 2026</t>
  </si>
  <si>
    <t>Indgåede aftaler om programbevillinger 2022-2027</t>
  </si>
  <si>
    <t>Model 0: Færrest mulige ændringer ift. status quo - dog lukket for nye store programmer i 2026</t>
  </si>
  <si>
    <t>Model A: Mulighed for flere projekter</t>
  </si>
  <si>
    <t>Model B: Mulighed for både nye mellem og store programmer fra 2026</t>
  </si>
  <si>
    <t>Model C: Mulighed for nye mellemprogrammer - lukket for optag af nye store programmer i 2026</t>
  </si>
  <si>
    <t>Små programmer ville ligge en smule over niveauet på Udviklingsindsatser i dag, hvorved presset ville mindsket på denne støtteform.</t>
  </si>
  <si>
    <t>Antallet af projekter vil stadig ligge væsentligt lavere end i dag - men højere end i 2025, hvor den vil stige fra 41 til 56 projekter.</t>
  </si>
  <si>
    <t>Projektmodaliteten ville blive boostet. Hvor CISU har kunnet bevillige ca. 73 projekter i dag, vil denne fordeling give i alt 96 projekter.</t>
  </si>
  <si>
    <t>Samfinansiering vil ligge under niveauet i dag men stadig tredobbelt ift. forbrugt beløb i 2024.</t>
  </si>
  <si>
    <t xml:space="preserve">Der vil være lukket for optag af nye store programmer, og de 4 tidligere store programmer vil derfor søge mellem programmer sammen med de to mellem programmer. Der er midler til tre mellemprogrammer og presset vil således flyttes til små programmer.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</si>
</sst>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??_ ;_ @_ "/>
    <numFmt numFmtId="165" formatCode="0.0%"/>
    <numFmt numFmtId="166" formatCode="_-* #,##0_-;\-* #,##0_-;_-* &quot;-&quot;??_-;_-@_-"/>
    <numFmt numFmtId="167" formatCode="dd\-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20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7">
    <xf numFmtId="0" fontId="0" fillId="0" borderId="0" xfId="0"/>
    <xf numFmtId="164" fontId="3" fillId="0" borderId="2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2" fillId="0" borderId="0" xfId="0" applyFont="1"/>
    <xf numFmtId="9" fontId="2" fillId="0" borderId="2" xfId="2" applyFont="1" applyBorder="1"/>
    <xf numFmtId="0" fontId="0" fillId="0" borderId="2" xfId="0" applyBorder="1" applyAlignment="1">
      <alignment horizontal="left"/>
    </xf>
    <xf numFmtId="166" fontId="0" fillId="0" borderId="2" xfId="1" applyNumberFormat="1" applyFont="1" applyBorder="1"/>
    <xf numFmtId="164" fontId="4" fillId="5" borderId="2" xfId="3" applyNumberFormat="1" applyFont="1" applyFill="1" applyBorder="1" applyAlignment="1">
      <alignment horizontal="center" vertical="center" wrapText="1"/>
    </xf>
    <xf numFmtId="43" fontId="0" fillId="0" borderId="0" xfId="1" applyFont="1"/>
    <xf numFmtId="166" fontId="0" fillId="0" borderId="0" xfId="0" applyNumberFormat="1"/>
    <xf numFmtId="0" fontId="2" fillId="3" borderId="2" xfId="0" applyFont="1" applyFill="1" applyBorder="1"/>
    <xf numFmtId="166" fontId="2" fillId="0" borderId="0" xfId="0" applyNumberFormat="1" applyFont="1"/>
    <xf numFmtId="166" fontId="0" fillId="0" borderId="2" xfId="0" applyNumberFormat="1" applyBorder="1"/>
    <xf numFmtId="0" fontId="2" fillId="7" borderId="2" xfId="0" applyFont="1" applyFill="1" applyBorder="1" applyAlignment="1">
      <alignment horizontal="center" vertical="center" wrapText="1"/>
    </xf>
    <xf numFmtId="0" fontId="2" fillId="7" borderId="2" xfId="3" applyFont="1" applyFill="1" applyBorder="1" applyAlignment="1">
      <alignment horizontal="center" vertical="center" wrapText="1"/>
    </xf>
    <xf numFmtId="165" fontId="0" fillId="0" borderId="2" xfId="2" applyNumberFormat="1" applyFont="1" applyBorder="1"/>
    <xf numFmtId="0" fontId="0" fillId="6" borderId="2" xfId="0" applyFill="1" applyBorder="1"/>
    <xf numFmtId="167" fontId="0" fillId="6" borderId="2" xfId="0" applyNumberFormat="1" applyFill="1" applyBorder="1"/>
    <xf numFmtId="166" fontId="0" fillId="6" borderId="2" xfId="1" applyNumberFormat="1" applyFont="1" applyFill="1" applyBorder="1"/>
    <xf numFmtId="166" fontId="0" fillId="6" borderId="2" xfId="0" applyNumberFormat="1" applyFill="1" applyBorder="1"/>
    <xf numFmtId="165" fontId="0" fillId="0" borderId="2" xfId="2" applyNumberFormat="1" applyFont="1" applyFill="1" applyBorder="1"/>
    <xf numFmtId="0" fontId="0" fillId="8" borderId="2" xfId="0" applyFill="1" applyBorder="1"/>
    <xf numFmtId="166" fontId="0" fillId="6" borderId="2" xfId="0" applyNumberFormat="1" applyFill="1" applyBorder="1" applyAlignment="1">
      <alignment horizontal="right"/>
    </xf>
    <xf numFmtId="165" fontId="4" fillId="5" borderId="2" xfId="3" applyNumberFormat="1" applyFont="1" applyFill="1" applyBorder="1" applyAlignment="1">
      <alignment horizontal="center" vertical="center" wrapText="1"/>
    </xf>
    <xf numFmtId="165" fontId="2" fillId="0" borderId="2" xfId="2" applyNumberFormat="1" applyFont="1" applyBorder="1"/>
    <xf numFmtId="167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5" fillId="0" borderId="0" xfId="0" applyFont="1" applyAlignment="1">
      <alignment vertical="top" wrapText="1"/>
    </xf>
    <xf numFmtId="164" fontId="0" fillId="4" borderId="0" xfId="0" applyNumberForma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0" fillId="9" borderId="2" xfId="1" applyNumberFormat="1" applyFont="1" applyFill="1" applyBorder="1"/>
    <xf numFmtId="1" fontId="0" fillId="0" borderId="2" xfId="2" applyNumberFormat="1" applyFont="1" applyBorder="1"/>
    <xf numFmtId="1" fontId="2" fillId="0" borderId="2" xfId="2" applyNumberFormat="1" applyFont="1" applyBorder="1"/>
    <xf numFmtId="0" fontId="0" fillId="9" borderId="2" xfId="0" applyFill="1" applyBorder="1"/>
    <xf numFmtId="167" fontId="0" fillId="9" borderId="2" xfId="0" applyNumberFormat="1" applyFill="1" applyBorder="1"/>
    <xf numFmtId="166" fontId="0" fillId="9" borderId="2" xfId="0" applyNumberFormat="1" applyFill="1" applyBorder="1"/>
    <xf numFmtId="166" fontId="0" fillId="9" borderId="2" xfId="0" applyNumberFormat="1" applyFill="1" applyBorder="1" applyAlignment="1">
      <alignment horizontal="right"/>
    </xf>
    <xf numFmtId="0" fontId="0" fillId="10" borderId="0" xfId="0" applyFill="1"/>
    <xf numFmtId="0" fontId="0" fillId="8" borderId="0" xfId="0" applyFill="1"/>
    <xf numFmtId="1" fontId="0" fillId="0" borderId="2" xfId="2" applyNumberFormat="1" applyFont="1" applyBorder="1" applyAlignment="1">
      <alignment horizontal="right"/>
    </xf>
    <xf numFmtId="0" fontId="0" fillId="8" borderId="2" xfId="0" applyFill="1" applyBorder="1" applyAlignment="1">
      <alignment horizontal="left"/>
    </xf>
    <xf numFmtId="165" fontId="0" fillId="8" borderId="2" xfId="2" applyNumberFormat="1" applyFont="1" applyFill="1" applyBorder="1"/>
    <xf numFmtId="1" fontId="0" fillId="8" borderId="2" xfId="2" applyNumberFormat="1" applyFont="1" applyFill="1" applyBorder="1"/>
    <xf numFmtId="9" fontId="0" fillId="8" borderId="2" xfId="2" applyFont="1" applyFill="1" applyBorder="1"/>
    <xf numFmtId="166" fontId="0" fillId="8" borderId="2" xfId="1" applyNumberFormat="1" applyFont="1" applyFill="1" applyBorder="1"/>
    <xf numFmtId="0" fontId="0" fillId="0" borderId="3" xfId="0" applyBorder="1" applyAlignment="1">
      <alignment horizontal="left"/>
    </xf>
    <xf numFmtId="0" fontId="0" fillId="8" borderId="3" xfId="0" applyFill="1" applyBorder="1"/>
    <xf numFmtId="165" fontId="0" fillId="0" borderId="3" xfId="2" applyNumberFormat="1" applyFont="1" applyBorder="1"/>
    <xf numFmtId="1" fontId="0" fillId="0" borderId="3" xfId="2" applyNumberFormat="1" applyFont="1" applyBorder="1"/>
    <xf numFmtId="166" fontId="0" fillId="4" borderId="3" xfId="1" applyNumberFormat="1" applyFont="1" applyFill="1" applyBorder="1"/>
    <xf numFmtId="165" fontId="0" fillId="0" borderId="3" xfId="2" applyNumberFormat="1" applyFont="1" applyFill="1" applyBorder="1"/>
    <xf numFmtId="9" fontId="0" fillId="0" borderId="3" xfId="2" applyFont="1" applyBorder="1"/>
    <xf numFmtId="164" fontId="0" fillId="8" borderId="2" xfId="0" applyNumberFormat="1" applyFill="1" applyBorder="1"/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1" fontId="4" fillId="5" borderId="2" xfId="3" applyNumberFormat="1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2" xfId="2" applyNumberFormat="1" applyFont="1" applyFill="1" applyBorder="1"/>
    <xf numFmtId="166" fontId="6" fillId="0" borderId="0" xfId="0" applyNumberFormat="1" applyFont="1"/>
    <xf numFmtId="166" fontId="0" fillId="0" borderId="0" xfId="1" applyNumberFormat="1" applyFont="1"/>
    <xf numFmtId="1" fontId="0" fillId="0" borderId="0" xfId="0" applyNumberFormat="1"/>
    <xf numFmtId="3" fontId="0" fillId="0" borderId="0" xfId="0" applyNumberFormat="1"/>
    <xf numFmtId="1" fontId="0" fillId="0" borderId="2" xfId="2" applyNumberFormat="1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left" wrapText="1"/>
    </xf>
    <xf numFmtId="1" fontId="0" fillId="0" borderId="3" xfId="2" quotePrefix="1" applyNumberFormat="1" applyFont="1" applyBorder="1" applyAlignment="1">
      <alignment horizontal="right"/>
    </xf>
    <xf numFmtId="9" fontId="0" fillId="0" borderId="2" xfId="2" applyFont="1" applyBorder="1"/>
    <xf numFmtId="9" fontId="0" fillId="0" borderId="0" xfId="2" applyFont="1"/>
    <xf numFmtId="164" fontId="0" fillId="0" borderId="0" xfId="0" applyNumberFormat="1"/>
    <xf numFmtId="9" fontId="0" fillId="8" borderId="3" xfId="0" applyNumberFormat="1" applyFill="1" applyBorder="1"/>
    <xf numFmtId="9" fontId="0" fillId="8" borderId="2" xfId="0" applyNumberFormat="1" applyFill="1" applyBorder="1"/>
    <xf numFmtId="164" fontId="0" fillId="4" borderId="7" xfId="0" applyNumberFormat="1" applyFill="1" applyBorder="1"/>
    <xf numFmtId="0" fontId="0" fillId="8" borderId="7" xfId="0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Bemærk!" xfId="3" builtinId="10"/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534F-7371-4864-82AC-7F3E0D3F0C2A}">
  <sheetPr>
    <pageSetUpPr fitToPage="1"/>
  </sheetPr>
  <dimension ref="A1:S34"/>
  <sheetViews>
    <sheetView zoomScaleNormal="100" workbookViewId="0"/>
  </sheetViews>
  <sheetFormatPr defaultRowHeight="14.4" x14ac:dyDescent="0.3"/>
  <cols>
    <col min="1" max="1" width="46.109375" customWidth="1"/>
    <col min="2" max="2" width="18.109375" bestFit="1" customWidth="1"/>
    <col min="3" max="3" width="9.109375" customWidth="1"/>
    <col min="4" max="4" width="7.5546875" customWidth="1"/>
    <col min="5" max="5" width="15.33203125" bestFit="1" customWidth="1"/>
    <col min="6" max="6" width="10.5546875" bestFit="1" customWidth="1"/>
    <col min="7" max="7" width="7.88671875" customWidth="1"/>
    <col min="8" max="8" width="15.33203125" bestFit="1" customWidth="1"/>
    <col min="9" max="9" width="12.6640625" bestFit="1" customWidth="1"/>
    <col min="10" max="10" width="7.5546875" customWidth="1"/>
    <col min="11" max="11" width="15.33203125" bestFit="1" customWidth="1"/>
    <col min="12" max="12" width="9.33203125" bestFit="1" customWidth="1"/>
    <col min="13" max="13" width="7.109375" customWidth="1"/>
    <col min="14" max="14" width="37.44140625" bestFit="1" customWidth="1"/>
    <col min="15" max="15" width="11" bestFit="1" customWidth="1"/>
    <col min="16" max="16" width="14.44140625" bestFit="1" customWidth="1"/>
    <col min="18" max="19" width="11.5546875" bestFit="1" customWidth="1"/>
    <col min="20" max="20" width="21.88671875" customWidth="1"/>
  </cols>
  <sheetData>
    <row r="1" spans="1:19" ht="15.6" x14ac:dyDescent="0.3">
      <c r="A1" s="34" t="s">
        <v>62</v>
      </c>
    </row>
    <row r="3" spans="1:19" ht="25.8" x14ac:dyDescent="0.3">
      <c r="A3" s="35" t="s">
        <v>63</v>
      </c>
    </row>
    <row r="4" spans="1:19" ht="25.8" x14ac:dyDescent="0.3">
      <c r="A4" s="35"/>
    </row>
    <row r="5" spans="1:19" ht="18" x14ac:dyDescent="0.3">
      <c r="A5" s="70" t="s">
        <v>110</v>
      </c>
    </row>
    <row r="6" spans="1:19" ht="42.75" customHeight="1" x14ac:dyDescent="0.3">
      <c r="A6" s="70" t="s">
        <v>135</v>
      </c>
    </row>
    <row r="7" spans="1:19" ht="28.8" x14ac:dyDescent="0.3">
      <c r="A7" s="15" t="s">
        <v>0</v>
      </c>
      <c r="B7" s="16" t="s">
        <v>123</v>
      </c>
      <c r="C7" s="16" t="s">
        <v>1</v>
      </c>
      <c r="D7" s="16" t="s">
        <v>78</v>
      </c>
      <c r="E7" s="16" t="s">
        <v>2</v>
      </c>
      <c r="F7" s="16" t="s">
        <v>1</v>
      </c>
      <c r="G7" s="16" t="s">
        <v>78</v>
      </c>
      <c r="H7" s="16" t="s">
        <v>3</v>
      </c>
      <c r="I7" s="16" t="s">
        <v>1</v>
      </c>
      <c r="J7" s="16" t="s">
        <v>78</v>
      </c>
      <c r="K7" s="16" t="s">
        <v>4</v>
      </c>
      <c r="L7" s="16" t="s">
        <v>1</v>
      </c>
      <c r="M7" s="16" t="s">
        <v>78</v>
      </c>
    </row>
    <row r="8" spans="1:19" x14ac:dyDescent="0.3">
      <c r="A8" s="7" t="s">
        <v>5</v>
      </c>
      <c r="B8" s="8">
        <v>2000000</v>
      </c>
      <c r="C8" s="17">
        <f>B8/$B$20</f>
        <v>1.3513513513513514E-2</v>
      </c>
      <c r="D8" s="37">
        <f>B8/150000</f>
        <v>13.333333333333334</v>
      </c>
      <c r="E8" s="8">
        <v>3000000</v>
      </c>
      <c r="F8" s="17">
        <f>E8/$E$20</f>
        <v>2.0270270270270271E-2</v>
      </c>
      <c r="G8" s="37">
        <f>E8/150000</f>
        <v>20</v>
      </c>
      <c r="H8" s="8">
        <f>E8</f>
        <v>3000000</v>
      </c>
      <c r="I8" s="17">
        <f>H8/$H$20</f>
        <v>2.0270270270270271E-2</v>
      </c>
      <c r="J8" s="37">
        <f>G8</f>
        <v>20</v>
      </c>
      <c r="K8" s="8">
        <f>E8</f>
        <v>3000000</v>
      </c>
      <c r="L8" s="17">
        <f>K8/$K$20</f>
        <v>2.0270270270270271E-2</v>
      </c>
      <c r="M8" s="37">
        <f>J8</f>
        <v>20</v>
      </c>
      <c r="S8" s="10"/>
    </row>
    <row r="9" spans="1:19" x14ac:dyDescent="0.3">
      <c r="A9" s="7" t="s">
        <v>6</v>
      </c>
      <c r="B9" s="8">
        <v>23000000</v>
      </c>
      <c r="C9" s="17">
        <f>B9/$B$20</f>
        <v>0.1554054054054054</v>
      </c>
      <c r="D9" s="37">
        <f>B9/700000</f>
        <v>32.857142857142854</v>
      </c>
      <c r="E9" s="8">
        <v>24000000</v>
      </c>
      <c r="F9" s="17">
        <f>E9/$E$20</f>
        <v>0.16216216216216217</v>
      </c>
      <c r="G9" s="37">
        <f>E9/700000</f>
        <v>34.285714285714285</v>
      </c>
      <c r="H9" s="8">
        <f>E9</f>
        <v>24000000</v>
      </c>
      <c r="I9" s="17">
        <f>H9/$H$20</f>
        <v>0.16216216216216217</v>
      </c>
      <c r="J9" s="37">
        <f>G9</f>
        <v>34.285714285714285</v>
      </c>
      <c r="K9" s="8">
        <f>E9</f>
        <v>24000000</v>
      </c>
      <c r="L9" s="17">
        <f>K9/$K$20</f>
        <v>0.16216216216216217</v>
      </c>
      <c r="M9" s="37">
        <f>J9</f>
        <v>34.285714285714285</v>
      </c>
      <c r="S9" s="10"/>
    </row>
    <row r="10" spans="1:19" x14ac:dyDescent="0.3">
      <c r="A10" s="7" t="s">
        <v>7</v>
      </c>
      <c r="B10" s="8">
        <v>48665480</v>
      </c>
      <c r="C10" s="17">
        <f>B10/$B$20</f>
        <v>0.32882081081081083</v>
      </c>
      <c r="D10" s="37">
        <f>B10/4000000</f>
        <v>12.166370000000001</v>
      </c>
      <c r="E10" s="8">
        <v>60000000</v>
      </c>
      <c r="F10" s="17">
        <f>E10/$E$20</f>
        <v>0.40540540540540543</v>
      </c>
      <c r="G10" s="37">
        <f>E10/4000000</f>
        <v>15</v>
      </c>
      <c r="H10" s="8">
        <f>E10</f>
        <v>60000000</v>
      </c>
      <c r="I10" s="17">
        <f>H10/$H$20</f>
        <v>0.40540540540540543</v>
      </c>
      <c r="J10" s="37">
        <f>G10</f>
        <v>15</v>
      </c>
      <c r="K10" s="8">
        <f>E10</f>
        <v>60000000</v>
      </c>
      <c r="L10" s="17">
        <f>K10/$K$20</f>
        <v>0.40540540540540543</v>
      </c>
      <c r="M10" s="37">
        <f>J10</f>
        <v>15</v>
      </c>
    </row>
    <row r="11" spans="1:19" ht="4.5" customHeight="1" x14ac:dyDescent="0.3">
      <c r="A11" s="46"/>
      <c r="B11" s="50"/>
      <c r="C11" s="47"/>
      <c r="D11" s="48"/>
      <c r="E11" s="50"/>
      <c r="F11" s="47"/>
      <c r="G11" s="48"/>
      <c r="H11" s="50"/>
      <c r="I11" s="47"/>
      <c r="J11" s="48"/>
      <c r="K11" s="50"/>
      <c r="L11" s="47"/>
      <c r="M11" s="48"/>
    </row>
    <row r="12" spans="1:19" x14ac:dyDescent="0.3">
      <c r="A12" s="7" t="s">
        <v>8</v>
      </c>
      <c r="B12" s="20">
        <f>Programoversigt!$E$19</f>
        <v>16878750</v>
      </c>
      <c r="C12" s="17">
        <f>B12/$B$20</f>
        <v>0.11404560810810811</v>
      </c>
      <c r="D12" s="37">
        <v>5</v>
      </c>
      <c r="E12" s="20">
        <f>Programoversigt!F19</f>
        <v>9388750</v>
      </c>
      <c r="F12" s="17">
        <f>E12/$E$20</f>
        <v>6.3437499999999994E-2</v>
      </c>
      <c r="G12" s="37">
        <v>3</v>
      </c>
      <c r="H12" s="20">
        <f>E12+E13</f>
        <v>19185000</v>
      </c>
      <c r="I12" s="17">
        <f>H12/$H$20</f>
        <v>0.12962837837837837</v>
      </c>
      <c r="J12" s="37">
        <v>6</v>
      </c>
      <c r="K12" s="21">
        <f>E13</f>
        <v>9796250</v>
      </c>
      <c r="L12" s="17">
        <f>K12/$K$20</f>
        <v>6.6190878378378379E-2</v>
      </c>
      <c r="M12" s="37">
        <v>3</v>
      </c>
    </row>
    <row r="13" spans="1:19" x14ac:dyDescent="0.3">
      <c r="A13" s="51" t="s">
        <v>64</v>
      </c>
      <c r="B13" s="52"/>
      <c r="C13" s="53"/>
      <c r="D13" s="54"/>
      <c r="E13" s="33">
        <f>B22-(E8+E9+E10+E12+E15+E18+E19)</f>
        <v>9796250</v>
      </c>
      <c r="F13" s="57">
        <f>$E$13/E20</f>
        <v>6.6190878378378379E-2</v>
      </c>
      <c r="G13" s="54">
        <f>E13/3750000</f>
        <v>2.6123333333333334</v>
      </c>
      <c r="H13" s="52"/>
      <c r="I13" s="53"/>
      <c r="J13" s="54"/>
      <c r="K13" s="33">
        <f>B22-(K8+K9+K10+K12+K16+K18+K19)</f>
        <v>10003750</v>
      </c>
      <c r="L13" s="53">
        <f>K13/$K$20</f>
        <v>6.7592905405405398E-2</v>
      </c>
      <c r="M13" s="54">
        <f>K13/3750000</f>
        <v>2.6676666666666669</v>
      </c>
    </row>
    <row r="14" spans="1:19" ht="3.75" customHeight="1" x14ac:dyDescent="0.3">
      <c r="A14" s="46"/>
      <c r="B14" s="23"/>
      <c r="C14" s="47"/>
      <c r="D14" s="48"/>
      <c r="E14" s="58"/>
      <c r="F14" s="49"/>
      <c r="G14" s="48"/>
      <c r="H14" s="23"/>
      <c r="I14" s="47"/>
      <c r="J14" s="48"/>
      <c r="K14" s="50"/>
      <c r="L14" s="47"/>
      <c r="M14" s="48"/>
    </row>
    <row r="15" spans="1:19" x14ac:dyDescent="0.3">
      <c r="A15" s="7" t="s">
        <v>9</v>
      </c>
      <c r="B15" s="36">
        <f>Programoversigt!E20</f>
        <v>55775000</v>
      </c>
      <c r="C15" s="17">
        <f>B15/$B$20</f>
        <v>0.3768581081081081</v>
      </c>
      <c r="D15" s="37">
        <v>10</v>
      </c>
      <c r="E15" s="36">
        <f>Programoversigt!F20</f>
        <v>37615000</v>
      </c>
      <c r="F15" s="17">
        <f>E15/$E$20</f>
        <v>0.25415540540540543</v>
      </c>
      <c r="G15" s="37">
        <v>6</v>
      </c>
      <c r="H15" s="36">
        <f>Programoversigt!G20</f>
        <v>37615000</v>
      </c>
      <c r="I15" s="17">
        <f>H15/$H$20</f>
        <v>0.25415540540540543</v>
      </c>
      <c r="J15" s="37">
        <v>6</v>
      </c>
      <c r="K15" s="36">
        <f>E16</f>
        <v>0</v>
      </c>
      <c r="L15" s="17"/>
      <c r="M15" s="37"/>
      <c r="N15" s="11"/>
    </row>
    <row r="16" spans="1:19" x14ac:dyDescent="0.3">
      <c r="A16" s="51" t="s">
        <v>65</v>
      </c>
      <c r="B16" s="52"/>
      <c r="C16" s="53"/>
      <c r="D16" s="54"/>
      <c r="E16" s="44"/>
      <c r="F16" s="53"/>
      <c r="G16" s="54"/>
      <c r="H16" s="52"/>
      <c r="I16" s="53"/>
      <c r="J16" s="54"/>
      <c r="K16" s="55">
        <v>37000000</v>
      </c>
      <c r="L16" s="56">
        <f>K16/$K$20</f>
        <v>0.25</v>
      </c>
      <c r="M16" s="54">
        <f>K16/6750000</f>
        <v>5.4814814814814818</v>
      </c>
    </row>
    <row r="17" spans="1:14" ht="3.75" customHeight="1" x14ac:dyDescent="0.3">
      <c r="A17" s="46"/>
      <c r="B17" s="23"/>
      <c r="C17" s="47"/>
      <c r="D17" s="48"/>
      <c r="E17" s="23"/>
      <c r="F17" s="47"/>
      <c r="G17" s="48"/>
      <c r="H17" s="23"/>
      <c r="I17" s="47"/>
      <c r="J17" s="48"/>
      <c r="K17" s="50"/>
      <c r="L17" s="47"/>
      <c r="M17" s="48"/>
    </row>
    <row r="18" spans="1:14" x14ac:dyDescent="0.3">
      <c r="A18" s="7" t="s">
        <v>10</v>
      </c>
      <c r="B18" s="8">
        <v>200000</v>
      </c>
      <c r="C18" s="17">
        <f>B18/$B$20</f>
        <v>1.3513513513513514E-3</v>
      </c>
      <c r="D18" s="37">
        <f>B18/100000</f>
        <v>2</v>
      </c>
      <c r="E18" s="8">
        <v>200000</v>
      </c>
      <c r="F18" s="17">
        <f>E18/$E$20</f>
        <v>1.3513513513513514E-3</v>
      </c>
      <c r="G18" s="37">
        <f>E18/100000</f>
        <v>2</v>
      </c>
      <c r="H18" s="8">
        <v>200000</v>
      </c>
      <c r="I18" s="17">
        <f>H18/$H$20</f>
        <v>1.3513513513513514E-3</v>
      </c>
      <c r="J18" s="37">
        <f>H18/100000</f>
        <v>2</v>
      </c>
      <c r="K18" s="8">
        <v>200000</v>
      </c>
      <c r="L18" s="22">
        <f>K18/$K$20</f>
        <v>1.3513513513513514E-3</v>
      </c>
      <c r="M18" s="37">
        <f>K18/100000</f>
        <v>2</v>
      </c>
    </row>
    <row r="19" spans="1:14" x14ac:dyDescent="0.3">
      <c r="A19" s="7" t="s">
        <v>11</v>
      </c>
      <c r="B19" s="8">
        <f>1250000+230770</f>
        <v>1480770</v>
      </c>
      <c r="C19" s="17">
        <f>B19/$B$20</f>
        <v>1.0005202702702703E-2</v>
      </c>
      <c r="D19" s="45" t="s">
        <v>67</v>
      </c>
      <c r="E19" s="8">
        <v>4000000</v>
      </c>
      <c r="F19" s="17">
        <f>E19/$E$20</f>
        <v>2.7027027027027029E-2</v>
      </c>
      <c r="G19" s="45" t="s">
        <v>66</v>
      </c>
      <c r="H19" s="8">
        <f>E19</f>
        <v>4000000</v>
      </c>
      <c r="I19" s="17">
        <f>H19/$H$20</f>
        <v>2.7027027027027029E-2</v>
      </c>
      <c r="J19" s="45" t="s">
        <v>66</v>
      </c>
      <c r="K19" s="8">
        <f>E19</f>
        <v>4000000</v>
      </c>
      <c r="L19" s="17">
        <f>K19/$K$20</f>
        <v>2.7027027027027029E-2</v>
      </c>
      <c r="M19" s="45" t="s">
        <v>66</v>
      </c>
    </row>
    <row r="20" spans="1:14" x14ac:dyDescent="0.3">
      <c r="A20" s="3" t="s">
        <v>12</v>
      </c>
      <c r="B20" s="4">
        <f>SUM(B8:B19)</f>
        <v>148000000</v>
      </c>
      <c r="C20" s="26">
        <f t="shared" ref="C20:L20" si="0">SUM(C8:C19)</f>
        <v>0.99999999999999989</v>
      </c>
      <c r="D20" s="38"/>
      <c r="E20" s="4">
        <f>SUM(E8:E19)</f>
        <v>148000000</v>
      </c>
      <c r="F20" s="6">
        <f t="shared" si="0"/>
        <v>1.0000000000000002</v>
      </c>
      <c r="G20" s="38"/>
      <c r="H20" s="4">
        <f t="shared" si="0"/>
        <v>148000000</v>
      </c>
      <c r="I20" s="6">
        <f t="shared" si="0"/>
        <v>1.0000000000000002</v>
      </c>
      <c r="J20" s="38"/>
      <c r="K20" s="4">
        <f t="shared" si="0"/>
        <v>148000000</v>
      </c>
      <c r="L20" s="6">
        <f t="shared" si="0"/>
        <v>1</v>
      </c>
      <c r="M20" s="38"/>
    </row>
    <row r="22" spans="1:14" x14ac:dyDescent="0.3">
      <c r="A22" s="30" t="s">
        <v>13</v>
      </c>
      <c r="B22" s="31">
        <v>148000000</v>
      </c>
      <c r="E22" s="76"/>
    </row>
    <row r="23" spans="1:14" x14ac:dyDescent="0.3">
      <c r="F23" s="11"/>
      <c r="G23" s="11"/>
      <c r="H23" s="11"/>
      <c r="K23" s="11"/>
    </row>
    <row r="24" spans="1:14" ht="28.8" x14ac:dyDescent="0.3">
      <c r="A24" s="15" t="s">
        <v>61</v>
      </c>
      <c r="B24" s="15" t="s">
        <v>14</v>
      </c>
      <c r="C24" s="15" t="s">
        <v>1</v>
      </c>
      <c r="D24" s="15" t="s">
        <v>78</v>
      </c>
      <c r="N24" s="5" t="s">
        <v>79</v>
      </c>
    </row>
    <row r="25" spans="1:14" x14ac:dyDescent="0.3">
      <c r="A25" s="7" t="s">
        <v>15</v>
      </c>
      <c r="B25" s="1">
        <v>26075000</v>
      </c>
      <c r="C25" s="22">
        <f>B25/$B$31</f>
        <v>0.17313502207762027</v>
      </c>
      <c r="D25" s="69">
        <f>G25+J25</f>
        <v>72.592974999999996</v>
      </c>
      <c r="E25" t="s">
        <v>111</v>
      </c>
      <c r="F25" s="66">
        <v>7240725</v>
      </c>
      <c r="G25" s="67">
        <f>F25/200000</f>
        <v>36.203625000000002</v>
      </c>
      <c r="H25" t="s">
        <v>112</v>
      </c>
      <c r="I25" s="68">
        <v>18194675</v>
      </c>
      <c r="J25" s="68">
        <f>I25/500000</f>
        <v>36.38935</v>
      </c>
      <c r="N25" t="s">
        <v>116</v>
      </c>
    </row>
    <row r="26" spans="1:14" x14ac:dyDescent="0.3">
      <c r="A26" s="7" t="s">
        <v>16</v>
      </c>
      <c r="B26" s="1">
        <v>51000000</v>
      </c>
      <c r="C26" s="17">
        <f>B26/$B$31</f>
        <v>0.33863417549218156</v>
      </c>
      <c r="D26" s="37">
        <f>B26/4500000</f>
        <v>11.333333333333334</v>
      </c>
      <c r="N26" t="s">
        <v>80</v>
      </c>
    </row>
    <row r="27" spans="1:14" x14ac:dyDescent="0.3">
      <c r="A27" s="7" t="s">
        <v>17</v>
      </c>
      <c r="B27" s="1">
        <v>71630000</v>
      </c>
      <c r="C27" s="17">
        <f>B27/$B$31</f>
        <v>0.47561501942166595</v>
      </c>
      <c r="D27" s="37">
        <v>15</v>
      </c>
      <c r="N27" t="s">
        <v>81</v>
      </c>
    </row>
    <row r="28" spans="1:14" x14ac:dyDescent="0.3">
      <c r="A28" s="7" t="s">
        <v>18</v>
      </c>
      <c r="B28" s="9"/>
      <c r="C28" s="25"/>
      <c r="D28" s="62"/>
      <c r="N28" s="11" t="s">
        <v>142</v>
      </c>
    </row>
    <row r="29" spans="1:14" x14ac:dyDescent="0.3">
      <c r="A29" s="7" t="s">
        <v>10</v>
      </c>
      <c r="B29" s="2">
        <v>200000</v>
      </c>
      <c r="C29" s="17">
        <f>B29/$B$31</f>
        <v>1.3279771587928688E-3</v>
      </c>
      <c r="D29" s="37">
        <v>2</v>
      </c>
    </row>
    <row r="30" spans="1:14" x14ac:dyDescent="0.3">
      <c r="A30" s="7" t="s">
        <v>11</v>
      </c>
      <c r="B30" s="1">
        <v>1700000</v>
      </c>
      <c r="C30" s="17">
        <f>B30/$B$31</f>
        <v>1.1287805849739384E-2</v>
      </c>
      <c r="D30" s="37">
        <v>1</v>
      </c>
      <c r="N30" s="5" t="s">
        <v>83</v>
      </c>
    </row>
    <row r="31" spans="1:14" x14ac:dyDescent="0.3">
      <c r="A31" s="3" t="s">
        <v>19</v>
      </c>
      <c r="B31" s="4">
        <f>SUM(B25:B30)</f>
        <v>150605000</v>
      </c>
      <c r="C31" s="26">
        <f>B31/$B$31</f>
        <v>1</v>
      </c>
      <c r="D31" s="38"/>
      <c r="N31" t="s">
        <v>117</v>
      </c>
    </row>
    <row r="32" spans="1:14" x14ac:dyDescent="0.3">
      <c r="N32" t="s">
        <v>118</v>
      </c>
    </row>
    <row r="33" spans="1:14" ht="88.2" customHeight="1" x14ac:dyDescent="0.3">
      <c r="A33" s="82" t="s">
        <v>60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N33" t="s">
        <v>143</v>
      </c>
    </row>
    <row r="34" spans="1:14" ht="14.4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N34" t="s">
        <v>119</v>
      </c>
    </row>
  </sheetData>
  <mergeCells count="1">
    <mergeCell ref="A33:L33"/>
  </mergeCells>
  <pageMargins left="0.7" right="0.7" top="0.75" bottom="0.75" header="0.3" footer="0.3"/>
  <pageSetup paperSize="9" scale="9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B961-9003-43AD-A702-2F5D3155095E}">
  <dimension ref="A1:Q29"/>
  <sheetViews>
    <sheetView tabSelected="1" workbookViewId="0">
      <selection activeCell="E4" sqref="E4"/>
    </sheetView>
  </sheetViews>
  <sheetFormatPr defaultRowHeight="14.4" x14ac:dyDescent="0.3"/>
  <cols>
    <col min="1" max="1" width="46" bestFit="1" customWidth="1"/>
    <col min="2" max="2" width="14.44140625" customWidth="1"/>
    <col min="3" max="3" width="7.6640625" customWidth="1"/>
    <col min="4" max="4" width="7.109375" customWidth="1"/>
    <col min="5" max="5" width="8.6640625" customWidth="1"/>
    <col min="6" max="6" width="15.6640625" customWidth="1"/>
    <col min="7" max="7" width="7.33203125" customWidth="1"/>
    <col min="8" max="8" width="8.109375" customWidth="1"/>
    <col min="9" max="9" width="7" bestFit="1" customWidth="1"/>
    <col min="10" max="10" width="12" bestFit="1" customWidth="1"/>
    <col min="11" max="11" width="6" bestFit="1" customWidth="1"/>
    <col min="12" max="12" width="7" bestFit="1" customWidth="1"/>
    <col min="13" max="13" width="12" bestFit="1" customWidth="1"/>
    <col min="14" max="14" width="6" bestFit="1" customWidth="1"/>
  </cols>
  <sheetData>
    <row r="1" spans="1:17" ht="40.5" customHeight="1" x14ac:dyDescent="0.3">
      <c r="A1" s="70" t="s">
        <v>136</v>
      </c>
    </row>
    <row r="2" spans="1:17" ht="28.8" x14ac:dyDescent="0.3">
      <c r="A2" s="15" t="s">
        <v>0</v>
      </c>
      <c r="B2" s="16" t="s">
        <v>123</v>
      </c>
      <c r="C2" s="16" t="s">
        <v>128</v>
      </c>
      <c r="D2" s="16" t="s">
        <v>1</v>
      </c>
      <c r="E2" s="16" t="s">
        <v>68</v>
      </c>
      <c r="F2" s="16" t="s">
        <v>2</v>
      </c>
      <c r="G2" s="16" t="s">
        <v>128</v>
      </c>
      <c r="H2" s="16" t="s">
        <v>1</v>
      </c>
      <c r="I2" s="16" t="s">
        <v>68</v>
      </c>
      <c r="J2" s="16" t="s">
        <v>3</v>
      </c>
      <c r="K2" s="16" t="s">
        <v>128</v>
      </c>
      <c r="L2" s="16" t="s">
        <v>68</v>
      </c>
      <c r="M2" s="16" t="s">
        <v>4</v>
      </c>
      <c r="N2" s="16" t="s">
        <v>128</v>
      </c>
      <c r="O2" s="16" t="s">
        <v>68</v>
      </c>
    </row>
    <row r="3" spans="1:17" x14ac:dyDescent="0.3">
      <c r="A3" s="7" t="s">
        <v>5</v>
      </c>
      <c r="B3" s="8">
        <f>B17*C3</f>
        <v>7534625</v>
      </c>
      <c r="C3" s="17">
        <v>0.1</v>
      </c>
      <c r="D3" s="17">
        <f>B3/B14</f>
        <v>5.0909628378378376E-2</v>
      </c>
      <c r="E3" s="37">
        <f>B3/150000</f>
        <v>50.230833333333337</v>
      </c>
      <c r="F3" s="8">
        <f>G3*F17</f>
        <v>10099625</v>
      </c>
      <c r="G3" s="17">
        <v>0.1</v>
      </c>
      <c r="H3" s="17">
        <f>F3/$F$14</f>
        <v>6.8240709459459453E-2</v>
      </c>
      <c r="I3" s="37">
        <f>F3/150000</f>
        <v>67.330833333333331</v>
      </c>
      <c r="J3" s="8">
        <f>F3</f>
        <v>10099625</v>
      </c>
      <c r="K3" s="17">
        <v>0.1</v>
      </c>
      <c r="L3" s="37">
        <f>I3</f>
        <v>67.330833333333331</v>
      </c>
      <c r="M3" s="8">
        <f>F3</f>
        <v>10099625</v>
      </c>
      <c r="N3" s="17">
        <v>0.1</v>
      </c>
      <c r="O3" s="37">
        <f>L3</f>
        <v>67.330833333333331</v>
      </c>
    </row>
    <row r="4" spans="1:17" x14ac:dyDescent="0.3">
      <c r="A4" s="7" t="s">
        <v>6</v>
      </c>
      <c r="B4" s="8">
        <f>C4*B17</f>
        <v>15069250</v>
      </c>
      <c r="C4" s="17">
        <v>0.2</v>
      </c>
      <c r="D4" s="17">
        <f>B4/B16</f>
        <v>0.10181925675675675</v>
      </c>
      <c r="E4" s="37">
        <f>B4/700000</f>
        <v>21.5275</v>
      </c>
      <c r="F4" s="8">
        <f>G4*F17</f>
        <v>20199250</v>
      </c>
      <c r="G4" s="17">
        <v>0.2</v>
      </c>
      <c r="H4" s="17">
        <f t="shared" ref="H4:H14" si="0">F4/$F$14</f>
        <v>0.13648141891891891</v>
      </c>
      <c r="I4" s="37">
        <f>F4/700000</f>
        <v>28.856071428571429</v>
      </c>
      <c r="J4" s="8">
        <f>F4</f>
        <v>20199250</v>
      </c>
      <c r="K4" s="17">
        <v>0.2</v>
      </c>
      <c r="L4" s="37">
        <f>I4</f>
        <v>28.856071428571429</v>
      </c>
      <c r="M4" s="8">
        <f>F4</f>
        <v>20199250</v>
      </c>
      <c r="N4" s="17">
        <v>0.2</v>
      </c>
      <c r="O4" s="37">
        <f>L4</f>
        <v>28.856071428571429</v>
      </c>
    </row>
    <row r="5" spans="1:17" x14ac:dyDescent="0.3">
      <c r="A5" s="7" t="s">
        <v>7</v>
      </c>
      <c r="B5" s="8">
        <f>C5*B17</f>
        <v>45207750</v>
      </c>
      <c r="C5" s="17">
        <v>0.6</v>
      </c>
      <c r="D5" s="17">
        <f>B5/B16</f>
        <v>0.30545777027027027</v>
      </c>
      <c r="E5" s="37">
        <f>B5/4000000</f>
        <v>11.301937499999999</v>
      </c>
      <c r="F5" s="8">
        <f>G5*F17</f>
        <v>60597750</v>
      </c>
      <c r="G5" s="17">
        <v>0.6</v>
      </c>
      <c r="H5" s="17">
        <f t="shared" si="0"/>
        <v>0.40944425675675677</v>
      </c>
      <c r="I5" s="37">
        <f>F5/4000000</f>
        <v>15.149437499999999</v>
      </c>
      <c r="J5" s="8">
        <f>F5</f>
        <v>60597750</v>
      </c>
      <c r="K5" s="17">
        <v>0.6</v>
      </c>
      <c r="L5" s="37">
        <f>I5</f>
        <v>15.149437499999999</v>
      </c>
      <c r="M5" s="8">
        <f>F5</f>
        <v>60597750</v>
      </c>
      <c r="N5" s="17">
        <v>0.6</v>
      </c>
      <c r="O5" s="37">
        <f>L5</f>
        <v>15.149437499999999</v>
      </c>
    </row>
    <row r="6" spans="1:17" x14ac:dyDescent="0.3">
      <c r="A6" s="46"/>
      <c r="B6" s="50"/>
      <c r="C6" s="47"/>
      <c r="D6" s="47"/>
      <c r="E6" s="48"/>
      <c r="F6" s="50"/>
      <c r="G6" s="47"/>
      <c r="H6" s="47"/>
      <c r="I6" s="48"/>
      <c r="J6" s="50"/>
      <c r="K6" s="47"/>
      <c r="L6" s="48"/>
      <c r="M6" s="50"/>
      <c r="N6" s="47"/>
      <c r="O6" s="48"/>
    </row>
    <row r="7" spans="1:17" x14ac:dyDescent="0.3">
      <c r="A7" s="7" t="s">
        <v>8</v>
      </c>
      <c r="B7" s="20">
        <f>Programoversigt!E19</f>
        <v>16878750</v>
      </c>
      <c r="C7" s="17"/>
      <c r="D7" s="17">
        <f>B7/B16</f>
        <v>0.11404560810810811</v>
      </c>
      <c r="E7" s="37">
        <v>5</v>
      </c>
      <c r="F7" s="20">
        <f>Programoversigt!F19</f>
        <v>9388750</v>
      </c>
      <c r="G7" s="17"/>
      <c r="H7" s="17">
        <f t="shared" si="0"/>
        <v>6.3437499999999994E-2</v>
      </c>
      <c r="I7" s="37">
        <v>3</v>
      </c>
      <c r="J7" s="20">
        <f>Programoversigt!G19</f>
        <v>9388750</v>
      </c>
      <c r="K7" s="17"/>
      <c r="L7" s="37">
        <v>3</v>
      </c>
      <c r="M7" s="21">
        <f>F8</f>
        <v>0</v>
      </c>
      <c r="N7" s="17"/>
      <c r="O7" s="37"/>
    </row>
    <row r="8" spans="1:17" x14ac:dyDescent="0.3">
      <c r="A8" s="51" t="s">
        <v>64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33">
        <f>B16-(M3+M4+M5+M7+M11+M13)</f>
        <v>10003750</v>
      </c>
      <c r="N8" s="57"/>
      <c r="O8" s="73" t="s">
        <v>122</v>
      </c>
    </row>
    <row r="9" spans="1:17" x14ac:dyDescent="0.3">
      <c r="A9" s="46"/>
      <c r="B9" s="23"/>
      <c r="C9" s="47"/>
      <c r="D9" s="47"/>
      <c r="E9" s="48"/>
      <c r="F9" s="58"/>
      <c r="G9" s="49"/>
      <c r="H9" s="49"/>
      <c r="I9" s="48"/>
      <c r="J9" s="23"/>
      <c r="K9" s="49"/>
      <c r="L9" s="48"/>
      <c r="M9" s="50"/>
      <c r="N9" s="49"/>
      <c r="O9" s="48"/>
    </row>
    <row r="10" spans="1:17" x14ac:dyDescent="0.3">
      <c r="A10" s="7" t="s">
        <v>9</v>
      </c>
      <c r="B10" s="36">
        <f>Programoversigt!E20</f>
        <v>55775000</v>
      </c>
      <c r="C10" s="17"/>
      <c r="D10" s="17">
        <f>B10/B14</f>
        <v>0.3768581081081081</v>
      </c>
      <c r="E10" s="37">
        <v>10</v>
      </c>
      <c r="F10" s="36">
        <f>Programoversigt!F20</f>
        <v>37615000</v>
      </c>
      <c r="G10" s="17"/>
      <c r="H10" s="17">
        <f t="shared" si="0"/>
        <v>0.25415540540540543</v>
      </c>
      <c r="I10" s="37">
        <v>6</v>
      </c>
      <c r="J10" s="36">
        <f>Programoversigt!G20</f>
        <v>37615000</v>
      </c>
      <c r="K10" s="17"/>
      <c r="L10" s="37">
        <v>6</v>
      </c>
      <c r="M10" s="36">
        <f>F11</f>
        <v>0</v>
      </c>
      <c r="N10" s="17"/>
      <c r="O10" s="37"/>
    </row>
    <row r="11" spans="1:17" x14ac:dyDescent="0.3">
      <c r="A11" s="51" t="s">
        <v>65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5">
        <v>37000000</v>
      </c>
      <c r="N11" s="53"/>
      <c r="O11" s="54">
        <v>10</v>
      </c>
      <c r="Q11" s="11"/>
    </row>
    <row r="12" spans="1:17" x14ac:dyDescent="0.3">
      <c r="A12" s="46"/>
      <c r="B12" s="23"/>
      <c r="C12" s="47"/>
      <c r="D12" s="47"/>
      <c r="E12" s="48"/>
      <c r="F12" s="23"/>
      <c r="G12" s="47"/>
      <c r="H12" s="47"/>
      <c r="I12" s="48"/>
      <c r="J12" s="23"/>
      <c r="K12" s="47"/>
      <c r="L12" s="48"/>
      <c r="M12" s="50"/>
      <c r="N12" s="47"/>
      <c r="O12" s="48"/>
    </row>
    <row r="13" spans="1:17" ht="30" customHeight="1" x14ac:dyDescent="0.3">
      <c r="A13" s="72" t="s">
        <v>121</v>
      </c>
      <c r="B13" s="8">
        <f>C13*B17</f>
        <v>7534625</v>
      </c>
      <c r="C13" s="74">
        <v>0.1</v>
      </c>
      <c r="D13" s="17">
        <f>B13/B14</f>
        <v>5.0909628378378376E-2</v>
      </c>
      <c r="E13" s="45" t="s">
        <v>76</v>
      </c>
      <c r="F13" s="8">
        <f>G13*F17</f>
        <v>10099625</v>
      </c>
      <c r="G13" s="17">
        <v>0.1</v>
      </c>
      <c r="H13" s="17">
        <f t="shared" si="0"/>
        <v>6.8240709459459453E-2</v>
      </c>
      <c r="I13" s="45" t="s">
        <v>66</v>
      </c>
      <c r="J13" s="8">
        <f>F13</f>
        <v>10099625</v>
      </c>
      <c r="K13" s="17">
        <v>0.1</v>
      </c>
      <c r="L13" s="45" t="s">
        <v>66</v>
      </c>
      <c r="M13" s="8">
        <f>F13</f>
        <v>10099625</v>
      </c>
      <c r="N13" s="17">
        <v>0.1</v>
      </c>
      <c r="O13" s="45" t="s">
        <v>66</v>
      </c>
    </row>
    <row r="14" spans="1:17" x14ac:dyDescent="0.3">
      <c r="A14" s="3" t="s">
        <v>12</v>
      </c>
      <c r="B14" s="4">
        <f>SUM(B3:B13)</f>
        <v>148000000</v>
      </c>
      <c r="C14" s="6">
        <f>SUM(C3:C13)</f>
        <v>1</v>
      </c>
      <c r="D14" s="6">
        <f>SUM(D3:D13)</f>
        <v>1</v>
      </c>
      <c r="E14" s="38"/>
      <c r="F14" s="4">
        <f>SUM(F3:F13)</f>
        <v>148000000</v>
      </c>
      <c r="G14" s="6">
        <f>SUM(G3:G13)</f>
        <v>1</v>
      </c>
      <c r="H14" s="74">
        <f t="shared" si="0"/>
        <v>1</v>
      </c>
      <c r="I14" s="38"/>
      <c r="J14" s="4">
        <f>SUM(J3:J13)</f>
        <v>148000000</v>
      </c>
      <c r="K14" s="6">
        <f>SUM(K3:K13)</f>
        <v>1</v>
      </c>
      <c r="L14" s="38"/>
      <c r="M14" s="4">
        <f>SUM(M3:M13)</f>
        <v>148000000</v>
      </c>
      <c r="N14" s="6">
        <f>SUM(N3:N13)</f>
        <v>1</v>
      </c>
      <c r="O14" s="38"/>
    </row>
    <row r="16" spans="1:17" x14ac:dyDescent="0.3">
      <c r="A16" s="30" t="s">
        <v>13</v>
      </c>
      <c r="B16" s="31">
        <v>148000000</v>
      </c>
    </row>
    <row r="17" spans="1:6" x14ac:dyDescent="0.3">
      <c r="A17" s="30" t="s">
        <v>77</v>
      </c>
      <c r="B17" s="31">
        <f>B16-B7-B10</f>
        <v>75346250</v>
      </c>
      <c r="F17" s="31">
        <f>B16-F7-F10</f>
        <v>100996250</v>
      </c>
    </row>
    <row r="19" spans="1:6" ht="17.399999999999999" x14ac:dyDescent="0.3">
      <c r="A19" s="59" t="s">
        <v>69</v>
      </c>
      <c r="C19" s="5" t="s">
        <v>79</v>
      </c>
      <c r="D19" s="5"/>
    </row>
    <row r="20" spans="1:6" x14ac:dyDescent="0.3">
      <c r="A20" s="60"/>
      <c r="C20" t="s">
        <v>113</v>
      </c>
    </row>
    <row r="21" spans="1:6" ht="17.399999999999999" x14ac:dyDescent="0.3">
      <c r="A21" s="61" t="s">
        <v>70</v>
      </c>
      <c r="C21" t="s">
        <v>80</v>
      </c>
    </row>
    <row r="22" spans="1:6" ht="17.399999999999999" x14ac:dyDescent="0.3">
      <c r="A22" s="61" t="s">
        <v>71</v>
      </c>
      <c r="C22" t="s">
        <v>81</v>
      </c>
    </row>
    <row r="23" spans="1:6" ht="17.399999999999999" x14ac:dyDescent="0.3">
      <c r="A23" s="61" t="s">
        <v>72</v>
      </c>
      <c r="C23" s="11" t="s">
        <v>82</v>
      </c>
      <c r="D23" s="11"/>
    </row>
    <row r="24" spans="1:6" ht="17.399999999999999" x14ac:dyDescent="0.3">
      <c r="A24" s="61" t="s">
        <v>73</v>
      </c>
    </row>
    <row r="25" spans="1:6" ht="17.399999999999999" x14ac:dyDescent="0.3">
      <c r="A25" s="61" t="s">
        <v>74</v>
      </c>
      <c r="C25" s="5" t="s">
        <v>83</v>
      </c>
      <c r="D25" s="5"/>
    </row>
    <row r="26" spans="1:6" ht="17.25" customHeight="1" x14ac:dyDescent="0.3">
      <c r="A26" s="83" t="s">
        <v>120</v>
      </c>
      <c r="C26" t="s">
        <v>141</v>
      </c>
    </row>
    <row r="27" spans="1:6" x14ac:dyDescent="0.3">
      <c r="A27" s="83"/>
      <c r="C27" t="s">
        <v>101</v>
      </c>
    </row>
    <row r="28" spans="1:6" x14ac:dyDescent="0.3">
      <c r="A28" s="83"/>
      <c r="C28" t="s">
        <v>84</v>
      </c>
    </row>
    <row r="29" spans="1:6" x14ac:dyDescent="0.3">
      <c r="C29" t="s">
        <v>85</v>
      </c>
    </row>
  </sheetData>
  <mergeCells count="1">
    <mergeCell ref="A26:A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0225-30F7-43E3-A46C-3075F4412C48}">
  <dimension ref="A1:S34"/>
  <sheetViews>
    <sheetView topLeftCell="A3" workbookViewId="0"/>
  </sheetViews>
  <sheetFormatPr defaultRowHeight="14.4" x14ac:dyDescent="0.3"/>
  <cols>
    <col min="1" max="1" width="46" bestFit="1" customWidth="1"/>
    <col min="2" max="2" width="13.5546875" customWidth="1"/>
    <col min="6" max="6" width="14.33203125" bestFit="1" customWidth="1"/>
    <col min="10" max="10" width="12" bestFit="1" customWidth="1"/>
    <col min="13" max="13" width="12.5546875" bestFit="1" customWidth="1"/>
  </cols>
  <sheetData>
    <row r="1" spans="1:15" ht="39.75" customHeight="1" x14ac:dyDescent="0.3">
      <c r="A1" s="70" t="s">
        <v>137</v>
      </c>
    </row>
    <row r="2" spans="1:15" ht="28.8" x14ac:dyDescent="0.3">
      <c r="A2" s="15" t="s">
        <v>0</v>
      </c>
      <c r="B2" s="16" t="s">
        <v>123</v>
      </c>
      <c r="C2" s="16" t="s">
        <v>128</v>
      </c>
      <c r="D2" s="16" t="s">
        <v>1</v>
      </c>
      <c r="E2" s="16" t="s">
        <v>68</v>
      </c>
      <c r="F2" s="16" t="s">
        <v>2</v>
      </c>
      <c r="G2" s="16" t="s">
        <v>128</v>
      </c>
      <c r="H2" s="16" t="s">
        <v>1</v>
      </c>
      <c r="I2" s="16" t="s">
        <v>68</v>
      </c>
      <c r="J2" s="16" t="s">
        <v>3</v>
      </c>
      <c r="K2" s="16" t="s">
        <v>128</v>
      </c>
      <c r="L2" s="16" t="s">
        <v>68</v>
      </c>
      <c r="M2" s="16" t="s">
        <v>4</v>
      </c>
      <c r="N2" s="16" t="s">
        <v>128</v>
      </c>
      <c r="O2" s="16" t="s">
        <v>68</v>
      </c>
    </row>
    <row r="3" spans="1:15" x14ac:dyDescent="0.3">
      <c r="A3" s="7" t="s">
        <v>5</v>
      </c>
      <c r="B3" s="8">
        <f>B17*C3</f>
        <v>3767312.5</v>
      </c>
      <c r="C3" s="17">
        <v>0.05</v>
      </c>
      <c r="D3" s="17">
        <f>B3/$B$14</f>
        <v>2.5454814189189188E-2</v>
      </c>
      <c r="E3" s="37">
        <f>B3/150000</f>
        <v>25.115416666666668</v>
      </c>
      <c r="F3" s="8">
        <f>G3*F17</f>
        <v>5049812.5</v>
      </c>
      <c r="G3" s="17">
        <v>0.05</v>
      </c>
      <c r="H3" s="17">
        <f>F3/$F$14</f>
        <v>3.4120354729729727E-2</v>
      </c>
      <c r="I3" s="37">
        <f>F3/150000</f>
        <v>33.665416666666665</v>
      </c>
      <c r="J3" s="8">
        <f>K3*J17</f>
        <v>4039850</v>
      </c>
      <c r="K3" s="17">
        <v>0.05</v>
      </c>
      <c r="L3" s="37">
        <f>J3/150000</f>
        <v>26.932333333333332</v>
      </c>
      <c r="M3" s="8">
        <f>N3*M17</f>
        <v>6390037.5</v>
      </c>
      <c r="N3" s="17">
        <v>0.05</v>
      </c>
      <c r="O3" s="37">
        <f>M3/150000</f>
        <v>42.600250000000003</v>
      </c>
    </row>
    <row r="4" spans="1:15" x14ac:dyDescent="0.3">
      <c r="A4" s="7" t="s">
        <v>6</v>
      </c>
      <c r="B4" s="8">
        <f>C4*B17</f>
        <v>11301937.5</v>
      </c>
      <c r="C4" s="17">
        <v>0.15</v>
      </c>
      <c r="D4" s="17">
        <f t="shared" ref="D4:D14" si="0">B4/$B$14</f>
        <v>7.6364442567567567E-2</v>
      </c>
      <c r="E4" s="37">
        <f>B4/700000</f>
        <v>16.145624999999999</v>
      </c>
      <c r="F4" s="8">
        <f>G4*F17</f>
        <v>15149437.5</v>
      </c>
      <c r="G4" s="17">
        <v>0.15</v>
      </c>
      <c r="H4" s="17">
        <f t="shared" ref="H4:H14" si="1">F4/$F$14</f>
        <v>0.10236106418918919</v>
      </c>
      <c r="I4" s="37">
        <f>F4/700000</f>
        <v>21.642053571428573</v>
      </c>
      <c r="J4" s="8">
        <f>K4*J17</f>
        <v>12119550</v>
      </c>
      <c r="K4" s="17">
        <v>0.15</v>
      </c>
      <c r="L4" s="37">
        <f>J4/700000</f>
        <v>17.313642857142856</v>
      </c>
      <c r="M4" s="8">
        <f>N4*M17</f>
        <v>19170112.5</v>
      </c>
      <c r="N4" s="17">
        <v>0.15</v>
      </c>
      <c r="O4" s="37">
        <f>M4/700000</f>
        <v>27.385874999999999</v>
      </c>
    </row>
    <row r="5" spans="1:15" x14ac:dyDescent="0.3">
      <c r="A5" s="7" t="s">
        <v>7</v>
      </c>
      <c r="B5" s="8">
        <f>C5*B17</f>
        <v>52742375</v>
      </c>
      <c r="C5" s="17">
        <v>0.7</v>
      </c>
      <c r="D5" s="17">
        <f t="shared" si="0"/>
        <v>0.35636739864864864</v>
      </c>
      <c r="E5" s="37">
        <f>B5/4000000</f>
        <v>13.185593750000001</v>
      </c>
      <c r="F5" s="8">
        <f>G5*F17</f>
        <v>50498125</v>
      </c>
      <c r="G5" s="17">
        <v>0.5</v>
      </c>
      <c r="H5" s="17">
        <f t="shared" si="1"/>
        <v>0.34120354729729729</v>
      </c>
      <c r="I5" s="37">
        <f>F5/4000000</f>
        <v>12.62453125</v>
      </c>
      <c r="J5" s="8">
        <f>K5*J17</f>
        <v>56557900</v>
      </c>
      <c r="K5" s="17">
        <v>0.7</v>
      </c>
      <c r="L5" s="37">
        <f>J5/4000000</f>
        <v>14.139474999999999</v>
      </c>
      <c r="M5" s="8">
        <f>N5*M17</f>
        <v>63900375</v>
      </c>
      <c r="N5" s="17">
        <v>0.5</v>
      </c>
      <c r="O5" s="37">
        <f>M5/4000000</f>
        <v>15.975093749999999</v>
      </c>
    </row>
    <row r="6" spans="1:15" x14ac:dyDescent="0.3">
      <c r="A6" s="46"/>
      <c r="B6" s="50"/>
      <c r="C6" s="47"/>
      <c r="D6" s="47"/>
      <c r="E6" s="48"/>
      <c r="F6" s="50"/>
      <c r="G6" s="47"/>
      <c r="H6" s="47"/>
      <c r="I6" s="48"/>
      <c r="J6" s="50"/>
      <c r="K6" s="47"/>
      <c r="L6" s="48"/>
      <c r="M6" s="50"/>
      <c r="N6" s="47"/>
      <c r="O6" s="48"/>
    </row>
    <row r="7" spans="1:15" x14ac:dyDescent="0.3">
      <c r="A7" s="7" t="s">
        <v>8</v>
      </c>
      <c r="B7" s="20">
        <f>Programoversigt!E19</f>
        <v>16878750</v>
      </c>
      <c r="C7" s="47"/>
      <c r="D7" s="17">
        <f t="shared" si="0"/>
        <v>0.11404560810810811</v>
      </c>
      <c r="E7" s="37">
        <v>5</v>
      </c>
      <c r="F7" s="20">
        <f>Programoversigt!F19</f>
        <v>9388750</v>
      </c>
      <c r="G7" s="47"/>
      <c r="H7" s="17">
        <f t="shared" si="1"/>
        <v>6.3437499999999994E-2</v>
      </c>
      <c r="I7" s="37">
        <v>3</v>
      </c>
      <c r="J7" s="20">
        <f>Programoversigt!G19+F8</f>
        <v>24538187.5</v>
      </c>
      <c r="K7" s="47"/>
      <c r="L7" s="37">
        <v>7</v>
      </c>
      <c r="M7" s="21">
        <f>F8</f>
        <v>15149437.5</v>
      </c>
      <c r="N7" s="47"/>
      <c r="O7" s="37">
        <v>4</v>
      </c>
    </row>
    <row r="8" spans="1:15" x14ac:dyDescent="0.3">
      <c r="A8" s="51" t="s">
        <v>64</v>
      </c>
      <c r="B8" s="52"/>
      <c r="C8" s="47"/>
      <c r="D8" s="52"/>
      <c r="E8" s="52"/>
      <c r="F8" s="33">
        <f>G8*F17</f>
        <v>15149437.5</v>
      </c>
      <c r="G8" s="57">
        <v>0.15</v>
      </c>
      <c r="H8" s="17">
        <f t="shared" si="1"/>
        <v>0.10236106418918919</v>
      </c>
      <c r="I8" s="54">
        <f>F8/3750000</f>
        <v>4.0398500000000004</v>
      </c>
      <c r="J8" s="52"/>
      <c r="K8" s="47"/>
      <c r="L8" s="52"/>
      <c r="M8" s="33">
        <f>N8*M17</f>
        <v>19170112.5</v>
      </c>
      <c r="N8" s="57">
        <v>0.15</v>
      </c>
      <c r="O8" s="54">
        <f>M8/3750000</f>
        <v>5.1120299999999999</v>
      </c>
    </row>
    <row r="9" spans="1:15" x14ac:dyDescent="0.3">
      <c r="A9" s="46"/>
      <c r="B9" s="23"/>
      <c r="C9" s="47"/>
      <c r="D9" s="47"/>
      <c r="E9" s="47"/>
      <c r="F9" s="47"/>
      <c r="G9" s="47"/>
      <c r="H9" s="47"/>
      <c r="I9" s="48"/>
      <c r="J9" s="23"/>
      <c r="K9" s="47"/>
      <c r="L9" s="48"/>
      <c r="M9" s="50"/>
      <c r="N9" s="49"/>
      <c r="O9" s="48"/>
    </row>
    <row r="10" spans="1:15" x14ac:dyDescent="0.3">
      <c r="A10" s="7" t="s">
        <v>9</v>
      </c>
      <c r="B10" s="36">
        <f>Programoversigt!E20</f>
        <v>55775000</v>
      </c>
      <c r="C10" s="47"/>
      <c r="D10" s="17">
        <f t="shared" si="0"/>
        <v>0.3768581081081081</v>
      </c>
      <c r="E10" s="37">
        <v>10</v>
      </c>
      <c r="F10" s="36">
        <f>Programoversigt!F20</f>
        <v>37615000</v>
      </c>
      <c r="G10" s="47"/>
      <c r="H10" s="17">
        <f t="shared" si="1"/>
        <v>0.25415540540540543</v>
      </c>
      <c r="I10" s="37">
        <v>6</v>
      </c>
      <c r="J10" s="36">
        <f>Programoversigt!G20+F11</f>
        <v>42664812.5</v>
      </c>
      <c r="K10" s="47"/>
      <c r="L10" s="37">
        <v>7</v>
      </c>
      <c r="M10" s="36">
        <f>F11</f>
        <v>5049812.5</v>
      </c>
      <c r="N10" s="47"/>
      <c r="O10" s="37">
        <v>1</v>
      </c>
    </row>
    <row r="11" spans="1:15" x14ac:dyDescent="0.3">
      <c r="A11" s="51" t="s">
        <v>65</v>
      </c>
      <c r="B11" s="52"/>
      <c r="C11" s="52"/>
      <c r="D11" s="52"/>
      <c r="E11" s="52"/>
      <c r="F11" s="33">
        <f>G11*F17</f>
        <v>5049812.5</v>
      </c>
      <c r="G11" s="53">
        <v>0.05</v>
      </c>
      <c r="H11" s="17">
        <f t="shared" si="1"/>
        <v>3.4120354729729727E-2</v>
      </c>
      <c r="I11" s="54">
        <v>1</v>
      </c>
      <c r="J11" s="52"/>
      <c r="K11" s="52"/>
      <c r="L11" s="52"/>
      <c r="M11" s="55">
        <f>N11*M17</f>
        <v>6390037.5</v>
      </c>
      <c r="N11" s="53">
        <v>0.05</v>
      </c>
      <c r="O11" s="54">
        <v>1</v>
      </c>
    </row>
    <row r="12" spans="1:15" x14ac:dyDescent="0.3">
      <c r="A12" s="46"/>
      <c r="B12" s="23"/>
      <c r="C12" s="47"/>
      <c r="D12" s="47"/>
      <c r="E12" s="47"/>
      <c r="F12" s="47"/>
      <c r="G12" s="47"/>
      <c r="H12" s="47"/>
      <c r="I12" s="48"/>
      <c r="J12" s="23"/>
      <c r="K12" s="47"/>
      <c r="L12" s="48"/>
      <c r="M12" s="50"/>
      <c r="N12" s="47"/>
      <c r="O12" s="48"/>
    </row>
    <row r="13" spans="1:15" ht="28.8" x14ac:dyDescent="0.3">
      <c r="A13" s="72" t="s">
        <v>121</v>
      </c>
      <c r="B13" s="8">
        <f>C13*B17</f>
        <v>7534625</v>
      </c>
      <c r="C13" s="17">
        <v>0.1</v>
      </c>
      <c r="D13" s="17">
        <f t="shared" si="0"/>
        <v>5.0909628378378376E-2</v>
      </c>
      <c r="E13" s="47"/>
      <c r="F13" s="8">
        <f>G13*F17</f>
        <v>10099625</v>
      </c>
      <c r="G13" s="17">
        <v>0.1</v>
      </c>
      <c r="H13" s="17">
        <f t="shared" si="1"/>
        <v>6.8240709459459453E-2</v>
      </c>
      <c r="I13" s="48"/>
      <c r="J13" s="8">
        <f>K13*J17</f>
        <v>8079700</v>
      </c>
      <c r="K13" s="17">
        <v>0.1</v>
      </c>
      <c r="L13" s="48"/>
      <c r="M13" s="8">
        <f>F13</f>
        <v>10099625</v>
      </c>
      <c r="N13" s="17">
        <v>0.1</v>
      </c>
      <c r="O13" s="48"/>
    </row>
    <row r="14" spans="1:15" x14ac:dyDescent="0.3">
      <c r="A14" s="3" t="s">
        <v>12</v>
      </c>
      <c r="B14" s="4">
        <f>SUM(B3:B13)</f>
        <v>148000000</v>
      </c>
      <c r="C14" s="64">
        <f>SUM(C3:C13)</f>
        <v>0.99999999999999989</v>
      </c>
      <c r="D14" s="17">
        <f t="shared" si="0"/>
        <v>1</v>
      </c>
      <c r="E14" s="47"/>
      <c r="F14" s="4">
        <f>SUM(F3:F13)</f>
        <v>148000000</v>
      </c>
      <c r="G14" s="6">
        <f>SUM(G3:G13)</f>
        <v>1</v>
      </c>
      <c r="H14" s="17">
        <f t="shared" si="1"/>
        <v>1</v>
      </c>
      <c r="I14" s="48"/>
      <c r="J14" s="4">
        <f>SUM(J3:J13)</f>
        <v>148000000</v>
      </c>
      <c r="K14" s="6">
        <f>SUM(K3:K13)</f>
        <v>0.99999999999999989</v>
      </c>
      <c r="L14" s="48"/>
      <c r="M14" s="4">
        <f>SUM(M3:M13)</f>
        <v>145319550</v>
      </c>
      <c r="N14" s="6">
        <f>SUM(N3:N13)</f>
        <v>1</v>
      </c>
      <c r="O14" s="48"/>
    </row>
    <row r="16" spans="1:15" x14ac:dyDescent="0.3">
      <c r="A16" s="30" t="s">
        <v>13</v>
      </c>
      <c r="B16" s="31">
        <v>148000000</v>
      </c>
    </row>
    <row r="17" spans="1:15" x14ac:dyDescent="0.3">
      <c r="A17" s="30" t="s">
        <v>77</v>
      </c>
      <c r="B17" s="31">
        <f>B16-B7-B10</f>
        <v>75346250</v>
      </c>
      <c r="F17" s="31">
        <f>B16-F7-F10</f>
        <v>100996250</v>
      </c>
      <c r="J17" s="65">
        <f>B16-J7-J10</f>
        <v>80797000</v>
      </c>
      <c r="M17" s="65">
        <f>B16-M7-M10</f>
        <v>127800750</v>
      </c>
    </row>
    <row r="19" spans="1:15" ht="17.399999999999999" x14ac:dyDescent="0.3">
      <c r="A19" s="59" t="s">
        <v>86</v>
      </c>
      <c r="C19" s="5" t="s">
        <v>79</v>
      </c>
      <c r="D19" s="5"/>
    </row>
    <row r="20" spans="1:15" x14ac:dyDescent="0.3">
      <c r="A20" s="60"/>
      <c r="C20" s="43" t="s">
        <v>130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7.399999999999999" x14ac:dyDescent="0.3">
      <c r="A21" s="61" t="s">
        <v>87</v>
      </c>
      <c r="C21" t="s">
        <v>131</v>
      </c>
    </row>
    <row r="22" spans="1:15" ht="17.399999999999999" x14ac:dyDescent="0.3">
      <c r="A22" s="61" t="s">
        <v>88</v>
      </c>
      <c r="C22" t="s">
        <v>139</v>
      </c>
    </row>
    <row r="23" spans="1:15" ht="17.399999999999999" x14ac:dyDescent="0.3">
      <c r="A23" s="61" t="s">
        <v>89</v>
      </c>
      <c r="C23" t="s">
        <v>81</v>
      </c>
    </row>
    <row r="24" spans="1:15" ht="17.399999999999999" x14ac:dyDescent="0.3">
      <c r="A24" s="61" t="s">
        <v>90</v>
      </c>
      <c r="C24" s="11" t="s">
        <v>82</v>
      </c>
      <c r="D24" s="11"/>
    </row>
    <row r="25" spans="1:15" ht="17.399999999999999" x14ac:dyDescent="0.3">
      <c r="A25" s="61" t="s">
        <v>91</v>
      </c>
    </row>
    <row r="26" spans="1:15" ht="17.399999999999999" x14ac:dyDescent="0.35">
      <c r="A26" s="63" t="s">
        <v>75</v>
      </c>
      <c r="C26" s="5" t="s">
        <v>103</v>
      </c>
      <c r="D26" s="5"/>
    </row>
    <row r="27" spans="1:15" x14ac:dyDescent="0.3">
      <c r="C27" t="s">
        <v>140</v>
      </c>
    </row>
    <row r="28" spans="1:15" x14ac:dyDescent="0.3">
      <c r="C28" t="s">
        <v>102</v>
      </c>
    </row>
    <row r="29" spans="1:15" x14ac:dyDescent="0.3">
      <c r="C29" t="s">
        <v>93</v>
      </c>
    </row>
    <row r="30" spans="1:15" x14ac:dyDescent="0.3">
      <c r="C30" t="s">
        <v>94</v>
      </c>
    </row>
    <row r="31" spans="1:15" x14ac:dyDescent="0.3">
      <c r="C31" s="11" t="s">
        <v>95</v>
      </c>
      <c r="D31" s="11"/>
    </row>
    <row r="33" spans="3:19" x14ac:dyDescent="0.3">
      <c r="C33" s="5" t="s">
        <v>104</v>
      </c>
      <c r="D33" s="5"/>
    </row>
    <row r="34" spans="3:19" x14ac:dyDescent="0.3">
      <c r="C34" s="43" t="s">
        <v>105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3EDF-797D-4B40-B08D-81BF8FA1A784}">
  <dimension ref="A1:S31"/>
  <sheetViews>
    <sheetView workbookViewId="0">
      <selection activeCell="O3" sqref="O3:O4"/>
    </sheetView>
  </sheetViews>
  <sheetFormatPr defaultRowHeight="14.4" x14ac:dyDescent="0.3"/>
  <cols>
    <col min="1" max="1" width="43.44140625" bestFit="1" customWidth="1"/>
    <col min="2" max="2" width="12" bestFit="1" customWidth="1"/>
    <col min="3" max="3" width="8" customWidth="1"/>
    <col min="4" max="4" width="11.109375" customWidth="1"/>
    <col min="6" max="6" width="12" bestFit="1" customWidth="1"/>
    <col min="7" max="7" width="6" bestFit="1" customWidth="1"/>
    <col min="10" max="10" width="12" bestFit="1" customWidth="1"/>
    <col min="11" max="11" width="6" bestFit="1" customWidth="1"/>
    <col min="13" max="13" width="12.5546875" bestFit="1" customWidth="1"/>
    <col min="14" max="14" width="6" bestFit="1" customWidth="1"/>
  </cols>
  <sheetData>
    <row r="1" spans="1:17" ht="36" customHeight="1" x14ac:dyDescent="0.3">
      <c r="A1" s="70" t="s">
        <v>138</v>
      </c>
    </row>
    <row r="2" spans="1:17" ht="28.8" x14ac:dyDescent="0.3">
      <c r="A2" s="15" t="s">
        <v>0</v>
      </c>
      <c r="B2" s="16" t="s">
        <v>123</v>
      </c>
      <c r="C2" s="16" t="s">
        <v>128</v>
      </c>
      <c r="D2" s="16" t="s">
        <v>1</v>
      </c>
      <c r="E2" s="16" t="s">
        <v>68</v>
      </c>
      <c r="F2" s="16" t="s">
        <v>2</v>
      </c>
      <c r="G2" s="16" t="s">
        <v>128</v>
      </c>
      <c r="H2" s="16" t="s">
        <v>1</v>
      </c>
      <c r="I2" s="16" t="s">
        <v>68</v>
      </c>
      <c r="J2" s="16" t="s">
        <v>3</v>
      </c>
      <c r="K2" s="16" t="s">
        <v>128</v>
      </c>
      <c r="L2" s="16" t="s">
        <v>68</v>
      </c>
      <c r="M2" s="16" t="s">
        <v>4</v>
      </c>
      <c r="N2" s="16" t="s">
        <v>128</v>
      </c>
      <c r="O2" s="16" t="s">
        <v>68</v>
      </c>
    </row>
    <row r="3" spans="1:17" x14ac:dyDescent="0.3">
      <c r="A3" s="7" t="s">
        <v>5</v>
      </c>
      <c r="B3" s="8">
        <f>B17*C3</f>
        <v>5274237.5000000009</v>
      </c>
      <c r="C3" s="17">
        <v>7.0000000000000007E-2</v>
      </c>
      <c r="D3" s="17">
        <f>B3/$B$14</f>
        <v>3.5636739864864868E-2</v>
      </c>
      <c r="E3" s="37">
        <f>B3/150000</f>
        <v>35.16158333333334</v>
      </c>
      <c r="F3" s="8">
        <f>G3*F17</f>
        <v>7069737.5000000009</v>
      </c>
      <c r="G3" s="17">
        <v>7.0000000000000007E-2</v>
      </c>
      <c r="H3" s="17">
        <f>F3/$F$14</f>
        <v>4.776849662162163E-2</v>
      </c>
      <c r="I3" s="37">
        <f>F3/150000</f>
        <v>47.131583333333339</v>
      </c>
      <c r="J3" s="8">
        <f>K3*J17</f>
        <v>6362763.7500000009</v>
      </c>
      <c r="K3" s="17">
        <v>7.0000000000000007E-2</v>
      </c>
      <c r="L3" s="37">
        <f>I3</f>
        <v>47.131583333333339</v>
      </c>
      <c r="M3" s="8">
        <f>N3*M17</f>
        <v>9653026.25</v>
      </c>
      <c r="N3" s="17">
        <v>7.0000000000000007E-2</v>
      </c>
      <c r="O3" s="37">
        <f>L3</f>
        <v>47.131583333333339</v>
      </c>
    </row>
    <row r="4" spans="1:17" x14ac:dyDescent="0.3">
      <c r="A4" s="7" t="s">
        <v>6</v>
      </c>
      <c r="B4" s="8">
        <f>C4*B17</f>
        <v>21096950.000000004</v>
      </c>
      <c r="C4" s="17">
        <v>0.28000000000000003</v>
      </c>
      <c r="D4" s="17">
        <f t="shared" ref="D4:D14" si="0">B4/$B$14</f>
        <v>0.14254695945945947</v>
      </c>
      <c r="E4" s="37">
        <f>B4/700000</f>
        <v>30.138500000000004</v>
      </c>
      <c r="F4" s="8">
        <f>G4*F17</f>
        <v>23229137.5</v>
      </c>
      <c r="G4" s="17">
        <v>0.23</v>
      </c>
      <c r="H4" s="17">
        <f t="shared" ref="H4:H14" si="1">F4/$F$14</f>
        <v>0.15695363175675675</v>
      </c>
      <c r="I4" s="37">
        <f>F4/700000</f>
        <v>33.184482142857142</v>
      </c>
      <c r="J4" s="8">
        <f>K4*J17</f>
        <v>25451055.000000004</v>
      </c>
      <c r="K4" s="17">
        <v>0.28000000000000003</v>
      </c>
      <c r="L4" s="37">
        <f>I4</f>
        <v>33.184482142857142</v>
      </c>
      <c r="M4" s="8">
        <f>N4*M17</f>
        <v>31717086.25</v>
      </c>
      <c r="N4" s="17">
        <v>0.23</v>
      </c>
      <c r="O4" s="37">
        <f>L4</f>
        <v>33.184482142857142</v>
      </c>
    </row>
    <row r="5" spans="1:17" x14ac:dyDescent="0.3">
      <c r="A5" s="7" t="s">
        <v>7</v>
      </c>
      <c r="B5" s="8">
        <f>C5*B17</f>
        <v>41440437.5</v>
      </c>
      <c r="C5" s="17">
        <v>0.55000000000000004</v>
      </c>
      <c r="D5" s="17">
        <f t="shared" si="0"/>
        <v>0.28000295608108106</v>
      </c>
      <c r="E5" s="37">
        <f>B5/4000000</f>
        <v>10.360109375</v>
      </c>
      <c r="F5" s="8">
        <f>G5*F17</f>
        <v>50498125</v>
      </c>
      <c r="G5" s="17">
        <v>0.5</v>
      </c>
      <c r="H5" s="17">
        <f t="shared" si="1"/>
        <v>0.34120354729729729</v>
      </c>
      <c r="I5" s="37">
        <f>F5/4000000</f>
        <v>12.62453125</v>
      </c>
      <c r="J5" s="8">
        <f>K5*J17</f>
        <v>49993143.750000007</v>
      </c>
      <c r="K5" s="17">
        <v>0.55000000000000004</v>
      </c>
      <c r="L5" s="37">
        <f>I5</f>
        <v>12.62453125</v>
      </c>
      <c r="M5" s="8">
        <f>N5*M17</f>
        <v>68950187.5</v>
      </c>
      <c r="N5" s="17">
        <v>0.5</v>
      </c>
      <c r="O5" s="37">
        <f>L5</f>
        <v>12.62453125</v>
      </c>
    </row>
    <row r="6" spans="1:17" x14ac:dyDescent="0.3">
      <c r="A6" s="46"/>
      <c r="B6" s="50"/>
      <c r="C6" s="47"/>
      <c r="D6" s="47"/>
      <c r="E6" s="47"/>
      <c r="F6" s="47"/>
      <c r="G6" s="47"/>
      <c r="H6" s="47"/>
      <c r="I6" s="47"/>
      <c r="J6" s="50"/>
      <c r="K6" s="47"/>
      <c r="L6" s="48"/>
      <c r="M6" s="50"/>
      <c r="N6" s="47"/>
      <c r="O6" s="48"/>
    </row>
    <row r="7" spans="1:17" x14ac:dyDescent="0.3">
      <c r="A7" s="7" t="s">
        <v>8</v>
      </c>
      <c r="B7" s="20">
        <f>Programoversigt!E19</f>
        <v>16878750</v>
      </c>
      <c r="C7" s="47"/>
      <c r="D7" s="17">
        <f t="shared" si="0"/>
        <v>0.11404560810810811</v>
      </c>
      <c r="E7" s="37">
        <v>5</v>
      </c>
      <c r="F7" s="20">
        <f>Programoversigt!F19</f>
        <v>9388750</v>
      </c>
      <c r="G7" s="17"/>
      <c r="H7" s="17">
        <f t="shared" si="1"/>
        <v>6.3437499999999994E-2</v>
      </c>
      <c r="I7" s="37">
        <v>3</v>
      </c>
      <c r="J7" s="20">
        <f>F7+F8</f>
        <v>19488375</v>
      </c>
      <c r="K7" s="47"/>
      <c r="L7" s="37">
        <v>6</v>
      </c>
      <c r="M7" s="21">
        <f>F8</f>
        <v>10099625</v>
      </c>
      <c r="N7" s="47"/>
      <c r="O7" s="37">
        <v>3</v>
      </c>
    </row>
    <row r="8" spans="1:17" x14ac:dyDescent="0.3">
      <c r="A8" s="51" t="s">
        <v>64</v>
      </c>
      <c r="B8" s="52"/>
      <c r="C8" s="47"/>
      <c r="D8" s="17">
        <f t="shared" si="0"/>
        <v>0</v>
      </c>
      <c r="E8" s="47"/>
      <c r="F8" s="33">
        <f>G8*F17</f>
        <v>10099625</v>
      </c>
      <c r="G8" s="57">
        <v>0.1</v>
      </c>
      <c r="H8" s="17">
        <f t="shared" si="1"/>
        <v>6.8240709459459453E-2</v>
      </c>
      <c r="I8" s="54">
        <f>F8/3750000</f>
        <v>2.6932333333333331</v>
      </c>
      <c r="J8" s="52"/>
      <c r="K8" s="47"/>
      <c r="L8" s="52"/>
      <c r="M8" s="33">
        <f>N8*M17</f>
        <v>13790037.5</v>
      </c>
      <c r="N8" s="57">
        <v>0.1</v>
      </c>
      <c r="O8" s="54">
        <v>4</v>
      </c>
    </row>
    <row r="9" spans="1:17" x14ac:dyDescent="0.3">
      <c r="A9" s="46"/>
      <c r="B9" s="23"/>
      <c r="C9" s="47"/>
      <c r="D9" s="47"/>
      <c r="E9" s="47"/>
      <c r="F9" s="47"/>
      <c r="G9" s="47"/>
      <c r="H9" s="47"/>
      <c r="I9" s="47"/>
      <c r="J9" s="23"/>
      <c r="K9" s="47"/>
      <c r="L9" s="48"/>
      <c r="M9" s="50"/>
      <c r="N9" s="49"/>
      <c r="O9" s="48"/>
    </row>
    <row r="10" spans="1:17" x14ac:dyDescent="0.3">
      <c r="A10" s="7" t="s">
        <v>9</v>
      </c>
      <c r="B10" s="36">
        <f>Programoversigt!E20</f>
        <v>55775000</v>
      </c>
      <c r="C10" s="47"/>
      <c r="D10" s="17">
        <f t="shared" si="0"/>
        <v>0.3768581081081081</v>
      </c>
      <c r="E10" s="37">
        <v>10</v>
      </c>
      <c r="F10" s="36">
        <f>Programoversigt!F20</f>
        <v>37615000</v>
      </c>
      <c r="G10" s="17"/>
      <c r="H10" s="17">
        <f t="shared" si="1"/>
        <v>0.25415540540540543</v>
      </c>
      <c r="I10" s="37">
        <v>6</v>
      </c>
      <c r="J10" s="36">
        <f>Programoversigt!G20+F11</f>
        <v>37615000</v>
      </c>
      <c r="K10" s="47"/>
      <c r="L10" s="37">
        <v>6</v>
      </c>
      <c r="M10" s="23"/>
      <c r="N10" s="23"/>
      <c r="O10" s="23"/>
      <c r="Q10" s="11"/>
    </row>
    <row r="11" spans="1:17" x14ac:dyDescent="0.3">
      <c r="A11" s="51" t="s">
        <v>65</v>
      </c>
      <c r="B11" s="23"/>
      <c r="C11" s="47"/>
      <c r="D11" s="23"/>
      <c r="E11" s="23"/>
      <c r="F11" s="23"/>
      <c r="G11" s="23"/>
      <c r="H11" s="23"/>
      <c r="I11" s="23"/>
      <c r="J11" s="23"/>
      <c r="K11" s="47"/>
      <c r="L11" s="23"/>
      <c r="M11" s="23"/>
      <c r="N11" s="23"/>
      <c r="O11" s="23"/>
    </row>
    <row r="12" spans="1:17" x14ac:dyDescent="0.3">
      <c r="A12" s="46"/>
      <c r="B12" s="23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50"/>
      <c r="N12" s="47"/>
      <c r="O12" s="48"/>
    </row>
    <row r="13" spans="1:17" ht="28.8" x14ac:dyDescent="0.3">
      <c r="A13" s="72" t="s">
        <v>121</v>
      </c>
      <c r="B13" s="8">
        <f>C13*B17</f>
        <v>7534625</v>
      </c>
      <c r="C13" s="17">
        <v>0.1</v>
      </c>
      <c r="D13" s="17">
        <f t="shared" si="0"/>
        <v>5.0909628378378376E-2</v>
      </c>
      <c r="E13" s="47"/>
      <c r="F13" s="8">
        <f>G13*F17</f>
        <v>10099625</v>
      </c>
      <c r="G13" s="17">
        <v>0.1</v>
      </c>
      <c r="H13" s="17">
        <f t="shared" si="1"/>
        <v>6.8240709459459453E-2</v>
      </c>
      <c r="I13" s="47"/>
      <c r="J13" s="8">
        <f>K13*J17</f>
        <v>9089662.5</v>
      </c>
      <c r="K13" s="17">
        <v>0.1</v>
      </c>
      <c r="L13" s="48"/>
      <c r="M13" s="8">
        <f>N13*M17</f>
        <v>13790037.5</v>
      </c>
      <c r="N13" s="17">
        <v>0.1</v>
      </c>
      <c r="O13" s="48"/>
    </row>
    <row r="14" spans="1:17" x14ac:dyDescent="0.3">
      <c r="A14" s="3" t="s">
        <v>12</v>
      </c>
      <c r="B14" s="4">
        <f>SUM(B3:B13)</f>
        <v>148000000</v>
      </c>
      <c r="C14" s="64">
        <f>SUM(C3:C13)</f>
        <v>1.0000000000000002</v>
      </c>
      <c r="D14" s="17">
        <f t="shared" si="0"/>
        <v>1</v>
      </c>
      <c r="E14" s="47"/>
      <c r="F14" s="4">
        <f>SUM(F3:F13)</f>
        <v>148000000</v>
      </c>
      <c r="G14" s="6">
        <f>SUM(G3:G13)</f>
        <v>1</v>
      </c>
      <c r="H14" s="17">
        <f t="shared" si="1"/>
        <v>1</v>
      </c>
      <c r="I14" s="47"/>
      <c r="J14" s="4">
        <f>SUM(J3:J13)</f>
        <v>148000000</v>
      </c>
      <c r="K14" s="6">
        <f>SUM(K3:K13)</f>
        <v>1.0000000000000002</v>
      </c>
      <c r="L14" s="48"/>
      <c r="M14" s="4">
        <f>SUM(M3:M13)</f>
        <v>148000000</v>
      </c>
      <c r="N14" s="6">
        <f>SUM(N3:N13)</f>
        <v>1</v>
      </c>
      <c r="O14" s="48"/>
    </row>
    <row r="16" spans="1:17" x14ac:dyDescent="0.3">
      <c r="A16" s="30" t="s">
        <v>13</v>
      </c>
      <c r="B16" s="31">
        <v>148000000</v>
      </c>
    </row>
    <row r="17" spans="1:19" x14ac:dyDescent="0.3">
      <c r="A17" s="30" t="s">
        <v>77</v>
      </c>
      <c r="B17" s="31">
        <f>B16-B7-B10</f>
        <v>75346250</v>
      </c>
      <c r="F17" s="31">
        <f>B16-F7-F10</f>
        <v>100996250</v>
      </c>
      <c r="J17" s="31">
        <f>B16-J7-J10</f>
        <v>90896625</v>
      </c>
      <c r="M17" s="31">
        <f>B16-M7</f>
        <v>137900375</v>
      </c>
    </row>
    <row r="19" spans="1:19" ht="17.399999999999999" x14ac:dyDescent="0.3">
      <c r="A19" s="59" t="s">
        <v>96</v>
      </c>
      <c r="C19" s="5" t="s">
        <v>79</v>
      </c>
      <c r="D19" s="5"/>
    </row>
    <row r="20" spans="1:19" x14ac:dyDescent="0.3">
      <c r="A20" s="60"/>
      <c r="C20" s="43" t="s">
        <v>106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7.399999999999999" x14ac:dyDescent="0.3">
      <c r="A21" s="61" t="s">
        <v>97</v>
      </c>
      <c r="C21" t="s">
        <v>114</v>
      </c>
    </row>
    <row r="22" spans="1:19" ht="17.399999999999999" x14ac:dyDescent="0.3">
      <c r="A22" s="61" t="s">
        <v>98</v>
      </c>
      <c r="C22" t="s">
        <v>107</v>
      </c>
    </row>
    <row r="23" spans="1:19" ht="17.399999999999999" x14ac:dyDescent="0.3">
      <c r="A23" s="61" t="s">
        <v>89</v>
      </c>
      <c r="C23" t="s">
        <v>81</v>
      </c>
    </row>
    <row r="24" spans="1:19" ht="17.399999999999999" x14ac:dyDescent="0.3">
      <c r="A24" s="61" t="s">
        <v>99</v>
      </c>
      <c r="B24" s="11"/>
      <c r="C24" s="11" t="s">
        <v>108</v>
      </c>
      <c r="D24" s="11"/>
    </row>
    <row r="25" spans="1:19" ht="17.399999999999999" x14ac:dyDescent="0.3">
      <c r="A25" s="61" t="s">
        <v>100</v>
      </c>
    </row>
    <row r="26" spans="1:19" ht="17.399999999999999" x14ac:dyDescent="0.3">
      <c r="A26" s="61" t="s">
        <v>75</v>
      </c>
      <c r="C26" s="5" t="s">
        <v>103</v>
      </c>
      <c r="D26" s="5"/>
    </row>
    <row r="27" spans="1:19" x14ac:dyDescent="0.3">
      <c r="C27" t="s">
        <v>115</v>
      </c>
    </row>
    <row r="28" spans="1:19" x14ac:dyDescent="0.3">
      <c r="C28" t="s">
        <v>92</v>
      </c>
    </row>
    <row r="29" spans="1:19" x14ac:dyDescent="0.3">
      <c r="C29" t="s">
        <v>109</v>
      </c>
    </row>
    <row r="30" spans="1:19" x14ac:dyDescent="0.3">
      <c r="C30" t="s">
        <v>94</v>
      </c>
    </row>
    <row r="31" spans="1:19" x14ac:dyDescent="0.3">
      <c r="C31" s="11" t="s">
        <v>95</v>
      </c>
      <c r="D31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245B-BA8E-4743-B32F-777BD6D898A4}">
  <dimension ref="A1:O15"/>
  <sheetViews>
    <sheetView workbookViewId="0">
      <selection activeCell="C18" sqref="C18"/>
    </sheetView>
  </sheetViews>
  <sheetFormatPr defaultRowHeight="14.4" x14ac:dyDescent="0.3"/>
  <cols>
    <col min="1" max="1" width="43.44140625" bestFit="1" customWidth="1"/>
    <col min="2" max="2" width="15.33203125" bestFit="1" customWidth="1"/>
    <col min="3" max="3" width="10.44140625" customWidth="1"/>
    <col min="4" max="4" width="2" customWidth="1"/>
    <col min="5" max="5" width="12" bestFit="1" customWidth="1"/>
    <col min="7" max="7" width="9.109375" customWidth="1"/>
    <col min="8" max="8" width="1.88671875" customWidth="1"/>
    <col min="9" max="9" width="12" bestFit="1" customWidth="1"/>
    <col min="12" max="12" width="1.88671875" customWidth="1"/>
    <col min="13" max="13" width="12" bestFit="1" customWidth="1"/>
  </cols>
  <sheetData>
    <row r="1" spans="1:15" ht="35.25" customHeight="1" x14ac:dyDescent="0.3">
      <c r="A1" s="70" t="s">
        <v>132</v>
      </c>
      <c r="B1" s="84" t="s">
        <v>124</v>
      </c>
      <c r="C1" s="85"/>
      <c r="D1" s="81"/>
      <c r="E1" s="84" t="s">
        <v>125</v>
      </c>
      <c r="F1" s="86"/>
      <c r="G1" s="85"/>
      <c r="H1" s="81"/>
      <c r="I1" s="84" t="s">
        <v>126</v>
      </c>
      <c r="J1" s="86"/>
      <c r="K1" s="85"/>
      <c r="L1" s="81"/>
      <c r="M1" s="84" t="s">
        <v>127</v>
      </c>
      <c r="N1" s="86"/>
      <c r="O1" s="85"/>
    </row>
    <row r="2" spans="1:15" x14ac:dyDescent="0.3">
      <c r="A2" s="15" t="s">
        <v>0</v>
      </c>
      <c r="B2" s="16" t="s">
        <v>123</v>
      </c>
      <c r="C2" s="16" t="s">
        <v>1</v>
      </c>
      <c r="E2" s="16" t="s">
        <v>123</v>
      </c>
      <c r="F2" s="16" t="s">
        <v>128</v>
      </c>
      <c r="G2" s="16" t="s">
        <v>1</v>
      </c>
      <c r="I2" s="16" t="s">
        <v>123</v>
      </c>
      <c r="J2" s="16" t="s">
        <v>128</v>
      </c>
      <c r="K2" s="16" t="s">
        <v>1</v>
      </c>
      <c r="M2" s="16" t="s">
        <v>123</v>
      </c>
      <c r="N2" s="16" t="s">
        <v>128</v>
      </c>
      <c r="O2" s="16" t="s">
        <v>1</v>
      </c>
    </row>
    <row r="3" spans="1:15" x14ac:dyDescent="0.3">
      <c r="A3" s="7" t="s">
        <v>5</v>
      </c>
      <c r="B3" s="8">
        <v>2000000</v>
      </c>
      <c r="C3" s="74">
        <v>1.3513513513513514E-2</v>
      </c>
      <c r="E3" s="8">
        <v>7534625</v>
      </c>
      <c r="F3" s="17">
        <v>0.1</v>
      </c>
      <c r="G3" s="74">
        <v>5.0909628378378376E-2</v>
      </c>
      <c r="I3" s="8">
        <v>3767312.5</v>
      </c>
      <c r="J3" s="17">
        <v>0.05</v>
      </c>
      <c r="K3" s="17">
        <v>2.5454814189189188E-2</v>
      </c>
      <c r="M3" s="8">
        <v>5274237.5000000009</v>
      </c>
      <c r="N3" s="17">
        <v>7.0000000000000007E-2</v>
      </c>
      <c r="O3" s="74">
        <v>3.5636739864864868E-2</v>
      </c>
    </row>
    <row r="4" spans="1:15" x14ac:dyDescent="0.3">
      <c r="A4" s="7" t="s">
        <v>6</v>
      </c>
      <c r="B4" s="8">
        <v>23000000</v>
      </c>
      <c r="C4" s="74">
        <v>0.1554054054054054</v>
      </c>
      <c r="E4" s="8">
        <v>15069250</v>
      </c>
      <c r="F4" s="17">
        <v>0.2</v>
      </c>
      <c r="G4" s="74">
        <v>0.10181925675675675</v>
      </c>
      <c r="I4" s="8">
        <v>11301937.5</v>
      </c>
      <c r="J4" s="17">
        <v>0.15</v>
      </c>
      <c r="K4" s="17">
        <v>7.6364442567567567E-2</v>
      </c>
      <c r="M4" s="8">
        <v>21096950.000000004</v>
      </c>
      <c r="N4" s="17">
        <v>0.28000000000000003</v>
      </c>
      <c r="O4" s="74">
        <v>0.14254695945945947</v>
      </c>
    </row>
    <row r="5" spans="1:15" x14ac:dyDescent="0.3">
      <c r="A5" s="7" t="s">
        <v>7</v>
      </c>
      <c r="B5" s="8">
        <v>48665480</v>
      </c>
      <c r="C5" s="74">
        <v>0.32882081081081083</v>
      </c>
      <c r="E5" s="8">
        <v>45207750</v>
      </c>
      <c r="F5" s="17">
        <v>0.6</v>
      </c>
      <c r="G5" s="74">
        <v>0.30545777027027027</v>
      </c>
      <c r="I5" s="8">
        <v>52742375</v>
      </c>
      <c r="J5" s="17">
        <v>0.7</v>
      </c>
      <c r="K5" s="17">
        <v>0.35636739864864864</v>
      </c>
      <c r="M5" s="8">
        <v>41440437.5</v>
      </c>
      <c r="N5" s="17">
        <v>0.55000000000000004</v>
      </c>
      <c r="O5" s="74">
        <v>0.28000295608108106</v>
      </c>
    </row>
    <row r="6" spans="1:15" x14ac:dyDescent="0.3">
      <c r="A6" s="46"/>
      <c r="B6" s="50"/>
      <c r="C6" s="49"/>
      <c r="E6" s="50"/>
      <c r="F6" s="47"/>
      <c r="G6" s="49"/>
      <c r="I6" s="50"/>
      <c r="J6" s="47"/>
      <c r="K6" s="47"/>
      <c r="M6" s="50"/>
      <c r="N6" s="47"/>
      <c r="O6" s="49"/>
    </row>
    <row r="7" spans="1:15" x14ac:dyDescent="0.3">
      <c r="A7" s="7" t="s">
        <v>8</v>
      </c>
      <c r="B7" s="20">
        <v>16878750</v>
      </c>
      <c r="C7" s="74">
        <v>0.11404560810810811</v>
      </c>
      <c r="E7" s="20">
        <v>16878750</v>
      </c>
      <c r="F7" s="47"/>
      <c r="G7" s="74">
        <v>0.11404560810810811</v>
      </c>
      <c r="I7" s="20">
        <v>16878750</v>
      </c>
      <c r="J7" s="47"/>
      <c r="K7" s="17">
        <v>0.11404560810810811</v>
      </c>
      <c r="M7" s="20">
        <v>16878750</v>
      </c>
      <c r="N7" s="47"/>
      <c r="O7" s="74">
        <v>0.11404560810810811</v>
      </c>
    </row>
    <row r="8" spans="1:15" x14ac:dyDescent="0.3">
      <c r="A8" s="51" t="s">
        <v>64</v>
      </c>
      <c r="B8" s="52"/>
      <c r="C8" s="52"/>
      <c r="E8" s="52"/>
      <c r="F8" s="47"/>
      <c r="G8" s="77"/>
      <c r="I8" s="52"/>
      <c r="J8" s="47"/>
      <c r="K8" s="52"/>
      <c r="M8" s="52"/>
      <c r="N8" s="47"/>
      <c r="O8" s="52"/>
    </row>
    <row r="9" spans="1:15" x14ac:dyDescent="0.3">
      <c r="A9" s="46"/>
      <c r="B9" s="23"/>
      <c r="C9" s="49"/>
      <c r="E9" s="23"/>
      <c r="F9" s="47"/>
      <c r="G9" s="49"/>
      <c r="I9" s="23"/>
      <c r="J9" s="47"/>
      <c r="K9" s="47"/>
      <c r="M9" s="23"/>
      <c r="N9" s="47"/>
      <c r="O9" s="49"/>
    </row>
    <row r="10" spans="1:15" x14ac:dyDescent="0.3">
      <c r="A10" s="7" t="s">
        <v>9</v>
      </c>
      <c r="B10" s="36">
        <v>55775000</v>
      </c>
      <c r="C10" s="74">
        <v>0.3768581081081081</v>
      </c>
      <c r="E10" s="36">
        <v>55775000</v>
      </c>
      <c r="F10" s="47"/>
      <c r="G10" s="74">
        <v>0.3768581081081081</v>
      </c>
      <c r="I10" s="36">
        <v>55775000</v>
      </c>
      <c r="J10" s="47"/>
      <c r="K10" s="17">
        <v>0.3768581081081081</v>
      </c>
      <c r="M10" s="36">
        <v>55775000</v>
      </c>
      <c r="N10" s="47"/>
      <c r="O10" s="74">
        <v>0.3768581081081081</v>
      </c>
    </row>
    <row r="11" spans="1:15" x14ac:dyDescent="0.3">
      <c r="A11" s="51" t="s">
        <v>65</v>
      </c>
      <c r="B11" s="52"/>
      <c r="C11" s="52"/>
      <c r="E11" s="52"/>
      <c r="F11" s="52"/>
      <c r="G11" s="77"/>
      <c r="I11" s="52"/>
      <c r="J11" s="52"/>
      <c r="K11" s="52"/>
      <c r="M11" s="23"/>
      <c r="N11" s="23"/>
      <c r="O11" s="78"/>
    </row>
    <row r="12" spans="1:15" x14ac:dyDescent="0.3">
      <c r="A12" s="46"/>
      <c r="B12" s="23"/>
      <c r="C12" s="49"/>
      <c r="E12" s="23"/>
      <c r="F12" s="47"/>
      <c r="G12" s="49"/>
      <c r="I12" s="23"/>
      <c r="J12" s="47"/>
      <c r="K12" s="47"/>
      <c r="M12" s="23"/>
      <c r="N12" s="47"/>
      <c r="O12" s="49"/>
    </row>
    <row r="13" spans="1:15" ht="28.8" x14ac:dyDescent="0.3">
      <c r="A13" s="72" t="s">
        <v>129</v>
      </c>
      <c r="B13" s="8">
        <v>1680770</v>
      </c>
      <c r="C13" s="74">
        <f>B13/B14</f>
        <v>1.1356554054054054E-2</v>
      </c>
      <c r="E13" s="8">
        <v>7534625</v>
      </c>
      <c r="F13" s="74">
        <v>0.1</v>
      </c>
      <c r="G13" s="74">
        <v>5.0909628378378376E-2</v>
      </c>
      <c r="I13" s="8">
        <v>7534625</v>
      </c>
      <c r="J13" s="17">
        <v>0.1</v>
      </c>
      <c r="K13" s="17">
        <v>5.0909628378378376E-2</v>
      </c>
      <c r="M13" s="8">
        <v>7534625</v>
      </c>
      <c r="N13" s="17">
        <v>0.1</v>
      </c>
      <c r="O13" s="74">
        <v>5.0909628378378376E-2</v>
      </c>
    </row>
    <row r="14" spans="1:15" x14ac:dyDescent="0.3">
      <c r="A14" s="3" t="s">
        <v>12</v>
      </c>
      <c r="B14" s="4">
        <v>148000000</v>
      </c>
      <c r="C14" s="6">
        <v>0.99999999999999989</v>
      </c>
      <c r="E14" s="4">
        <v>148000000</v>
      </c>
      <c r="F14" s="6">
        <v>1</v>
      </c>
      <c r="G14" s="6">
        <v>1</v>
      </c>
      <c r="I14" s="4">
        <v>148000000</v>
      </c>
      <c r="J14" s="64">
        <v>0.99999999999999989</v>
      </c>
      <c r="K14" s="17">
        <v>1</v>
      </c>
      <c r="M14" s="4">
        <v>148000000</v>
      </c>
      <c r="N14" s="64">
        <v>1.0000000000000002</v>
      </c>
      <c r="O14" s="74">
        <v>1</v>
      </c>
    </row>
    <row r="15" spans="1:15" x14ac:dyDescent="0.3">
      <c r="B15" s="66"/>
      <c r="C15" s="75"/>
    </row>
  </sheetData>
  <mergeCells count="4">
    <mergeCell ref="B1:C1"/>
    <mergeCell ref="E1:G1"/>
    <mergeCell ref="I1:K1"/>
    <mergeCell ref="M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CC42-4FA2-454F-BB1D-D749CB0E5699}">
  <dimension ref="A1:P14"/>
  <sheetViews>
    <sheetView workbookViewId="0"/>
  </sheetViews>
  <sheetFormatPr defaultRowHeight="14.4" x14ac:dyDescent="0.3"/>
  <cols>
    <col min="1" max="1" width="42.6640625" bestFit="1" customWidth="1"/>
    <col min="2" max="2" width="2" customWidth="1"/>
    <col min="3" max="3" width="14.6640625" customWidth="1"/>
    <col min="4" max="4" width="12.6640625" customWidth="1"/>
    <col min="5" max="5" width="1.44140625" customWidth="1"/>
    <col min="6" max="6" width="12" bestFit="1" customWidth="1"/>
    <col min="7" max="7" width="6.109375" bestFit="1" customWidth="1"/>
    <col min="9" max="9" width="1.6640625" customWidth="1"/>
    <col min="10" max="10" width="12" bestFit="1" customWidth="1"/>
    <col min="11" max="11" width="6.109375" bestFit="1" customWidth="1"/>
    <col min="13" max="13" width="2" customWidth="1"/>
    <col min="14" max="14" width="12" bestFit="1" customWidth="1"/>
    <col min="15" max="15" width="6.109375" bestFit="1" customWidth="1"/>
  </cols>
  <sheetData>
    <row r="1" spans="1:16" ht="45.75" customHeight="1" x14ac:dyDescent="0.3">
      <c r="A1" s="70" t="s">
        <v>133</v>
      </c>
      <c r="C1" s="84" t="s">
        <v>124</v>
      </c>
      <c r="D1" s="85"/>
      <c r="E1" s="81"/>
      <c r="F1" s="84" t="s">
        <v>125</v>
      </c>
      <c r="G1" s="86"/>
      <c r="H1" s="85"/>
      <c r="I1" s="81"/>
      <c r="J1" s="84" t="s">
        <v>126</v>
      </c>
      <c r="K1" s="86"/>
      <c r="L1" s="85"/>
      <c r="M1" s="81"/>
      <c r="N1" s="84" t="s">
        <v>127</v>
      </c>
      <c r="O1" s="86"/>
      <c r="P1" s="85"/>
    </row>
    <row r="2" spans="1:16" ht="28.8" x14ac:dyDescent="0.3">
      <c r="A2" s="15" t="s">
        <v>0</v>
      </c>
      <c r="C2" s="16" t="s">
        <v>2</v>
      </c>
      <c r="D2" s="16" t="s">
        <v>1</v>
      </c>
      <c r="F2" s="16" t="s">
        <v>2</v>
      </c>
      <c r="G2" s="16" t="s">
        <v>128</v>
      </c>
      <c r="H2" s="16" t="s">
        <v>1</v>
      </c>
      <c r="J2" s="16" t="s">
        <v>2</v>
      </c>
      <c r="K2" s="16" t="s">
        <v>128</v>
      </c>
      <c r="L2" s="16" t="s">
        <v>1</v>
      </c>
      <c r="N2" s="16" t="s">
        <v>2</v>
      </c>
      <c r="O2" s="16" t="s">
        <v>128</v>
      </c>
      <c r="P2" s="16" t="s">
        <v>1</v>
      </c>
    </row>
    <row r="3" spans="1:16" x14ac:dyDescent="0.3">
      <c r="A3" s="7" t="s">
        <v>5</v>
      </c>
      <c r="C3" s="8">
        <v>3000000</v>
      </c>
      <c r="D3" s="17">
        <v>2.0270270270270271E-2</v>
      </c>
      <c r="F3" s="8">
        <v>10099625</v>
      </c>
      <c r="G3" s="17">
        <v>0.1</v>
      </c>
      <c r="H3" s="17">
        <v>6.8240709459459453E-2</v>
      </c>
      <c r="J3" s="8">
        <v>5049812.5</v>
      </c>
      <c r="K3" s="17">
        <v>0.05</v>
      </c>
      <c r="L3" s="17">
        <v>3.4120354729729727E-2</v>
      </c>
      <c r="N3" s="8">
        <v>7069737.5000000009</v>
      </c>
      <c r="O3" s="17">
        <v>7.0000000000000007E-2</v>
      </c>
      <c r="P3" s="17">
        <v>4.776849662162163E-2</v>
      </c>
    </row>
    <row r="4" spans="1:16" x14ac:dyDescent="0.3">
      <c r="A4" s="7" t="s">
        <v>6</v>
      </c>
      <c r="C4" s="8">
        <v>24000000</v>
      </c>
      <c r="D4" s="17">
        <v>0.16216216216216217</v>
      </c>
      <c r="F4" s="8">
        <v>20199250</v>
      </c>
      <c r="G4" s="17">
        <v>0.2</v>
      </c>
      <c r="H4" s="17">
        <v>0.13648141891891891</v>
      </c>
      <c r="J4" s="8">
        <v>15149437.5</v>
      </c>
      <c r="K4" s="17">
        <v>0.15</v>
      </c>
      <c r="L4" s="17">
        <v>0.10236106418918919</v>
      </c>
      <c r="N4" s="8">
        <v>23229137.5</v>
      </c>
      <c r="O4" s="17">
        <v>0.23</v>
      </c>
      <c r="P4" s="17">
        <v>0.15695363175675675</v>
      </c>
    </row>
    <row r="5" spans="1:16" x14ac:dyDescent="0.3">
      <c r="A5" s="7" t="s">
        <v>7</v>
      </c>
      <c r="C5" s="8">
        <v>60000000</v>
      </c>
      <c r="D5" s="17">
        <v>0.40540540540540543</v>
      </c>
      <c r="F5" s="8">
        <v>60597750</v>
      </c>
      <c r="G5" s="17">
        <v>0.6</v>
      </c>
      <c r="H5" s="17">
        <v>0.40944425675675677</v>
      </c>
      <c r="J5" s="8">
        <v>50498125</v>
      </c>
      <c r="K5" s="17">
        <v>0.5</v>
      </c>
      <c r="L5" s="17">
        <v>0.34120354729729729</v>
      </c>
      <c r="N5" s="8">
        <v>50498125</v>
      </c>
      <c r="O5" s="17">
        <v>0.5</v>
      </c>
      <c r="P5" s="17">
        <v>0.34120354729729729</v>
      </c>
    </row>
    <row r="6" spans="1:16" x14ac:dyDescent="0.3">
      <c r="A6" s="46"/>
      <c r="C6" s="50"/>
      <c r="D6" s="47"/>
      <c r="F6" s="50"/>
      <c r="G6" s="47"/>
      <c r="H6" s="47"/>
      <c r="J6" s="50"/>
      <c r="K6" s="47"/>
      <c r="L6" s="47"/>
      <c r="N6" s="47"/>
      <c r="O6" s="47"/>
      <c r="P6" s="47"/>
    </row>
    <row r="7" spans="1:16" x14ac:dyDescent="0.3">
      <c r="A7" s="7" t="s">
        <v>8</v>
      </c>
      <c r="C7" s="20">
        <v>9388750</v>
      </c>
      <c r="D7" s="17">
        <v>6.3437499999999994E-2</v>
      </c>
      <c r="F7" s="20">
        <v>9388750</v>
      </c>
      <c r="G7" s="47"/>
      <c r="H7" s="17">
        <v>6.3437499999999994E-2</v>
      </c>
      <c r="J7" s="20">
        <v>9388750</v>
      </c>
      <c r="K7" s="47"/>
      <c r="L7" s="17">
        <v>6.3437499999999994E-2</v>
      </c>
      <c r="N7" s="20">
        <v>9388750</v>
      </c>
      <c r="O7" s="47"/>
      <c r="P7" s="17">
        <v>6.3437499999999994E-2</v>
      </c>
    </row>
    <row r="8" spans="1:16" x14ac:dyDescent="0.3">
      <c r="A8" s="51" t="s">
        <v>64</v>
      </c>
      <c r="C8" s="79">
        <v>9796250</v>
      </c>
      <c r="D8" s="57">
        <v>6.6190878378378379E-2</v>
      </c>
      <c r="F8" s="52"/>
      <c r="G8" s="47"/>
      <c r="H8" s="52"/>
      <c r="J8" s="79">
        <v>15149437.5</v>
      </c>
      <c r="K8" s="57">
        <v>0.15</v>
      </c>
      <c r="L8" s="17">
        <v>0.10236106418918919</v>
      </c>
      <c r="N8" s="79">
        <v>10099625</v>
      </c>
      <c r="O8" s="57">
        <v>0.1</v>
      </c>
      <c r="P8" s="17">
        <v>6.8240709459459453E-2</v>
      </c>
    </row>
    <row r="9" spans="1:16" x14ac:dyDescent="0.3">
      <c r="A9" s="46"/>
      <c r="C9" s="58"/>
      <c r="D9" s="49"/>
      <c r="F9" s="58"/>
      <c r="G9" s="47"/>
      <c r="H9" s="49"/>
      <c r="J9" s="47"/>
      <c r="K9" s="47"/>
      <c r="L9" s="47"/>
      <c r="N9" s="47"/>
      <c r="O9" s="47"/>
      <c r="P9" s="47"/>
    </row>
    <row r="10" spans="1:16" x14ac:dyDescent="0.3">
      <c r="A10" s="7" t="s">
        <v>9</v>
      </c>
      <c r="C10" s="36">
        <v>37615000</v>
      </c>
      <c r="D10" s="17">
        <v>0.25415540540540543</v>
      </c>
      <c r="F10" s="36">
        <v>37615000</v>
      </c>
      <c r="G10" s="47"/>
      <c r="H10" s="17">
        <v>0.25415540540540543</v>
      </c>
      <c r="J10" s="36">
        <v>37615000</v>
      </c>
      <c r="K10" s="47"/>
      <c r="L10" s="17">
        <v>0.25415540540540543</v>
      </c>
      <c r="N10" s="36">
        <v>37615000</v>
      </c>
      <c r="O10" s="23"/>
      <c r="P10" s="17">
        <v>0.25415540540540543</v>
      </c>
    </row>
    <row r="11" spans="1:16" x14ac:dyDescent="0.3">
      <c r="A11" s="51" t="s">
        <v>65</v>
      </c>
      <c r="C11" s="80"/>
      <c r="D11" s="23"/>
      <c r="F11" s="52"/>
      <c r="G11" s="52"/>
      <c r="H11" s="52"/>
      <c r="J11" s="79">
        <v>5049812.5</v>
      </c>
      <c r="K11" s="53">
        <v>0.05</v>
      </c>
      <c r="L11" s="17">
        <v>3.4120354729729727E-2</v>
      </c>
      <c r="N11" s="23"/>
      <c r="O11" s="23"/>
      <c r="P11" s="23"/>
    </row>
    <row r="12" spans="1:16" x14ac:dyDescent="0.3">
      <c r="A12" s="46"/>
      <c r="C12" s="23"/>
      <c r="D12" s="47"/>
      <c r="F12" s="23"/>
      <c r="G12" s="47"/>
      <c r="H12" s="47"/>
      <c r="J12" s="47"/>
      <c r="K12" s="47"/>
      <c r="L12" s="47"/>
      <c r="N12" s="47"/>
      <c r="O12" s="47"/>
      <c r="P12" s="47"/>
    </row>
    <row r="13" spans="1:16" ht="28.8" x14ac:dyDescent="0.3">
      <c r="A13" s="72" t="s">
        <v>129</v>
      </c>
      <c r="C13" s="8">
        <v>4200000</v>
      </c>
      <c r="D13" s="17">
        <f>C13/C14</f>
        <v>2.837837837837838E-2</v>
      </c>
      <c r="F13" s="8">
        <v>10099625</v>
      </c>
      <c r="G13" s="17">
        <v>0.1</v>
      </c>
      <c r="H13" s="17">
        <v>6.8240709459459453E-2</v>
      </c>
      <c r="J13" s="8">
        <v>10099625</v>
      </c>
      <c r="K13" s="17">
        <v>0.1</v>
      </c>
      <c r="L13" s="17">
        <v>6.8240709459459453E-2</v>
      </c>
      <c r="N13" s="8">
        <v>10099625</v>
      </c>
      <c r="O13" s="17">
        <v>0.1</v>
      </c>
      <c r="P13" s="17">
        <v>6.8240709459459453E-2</v>
      </c>
    </row>
    <row r="14" spans="1:16" x14ac:dyDescent="0.3">
      <c r="A14" s="3" t="s">
        <v>12</v>
      </c>
      <c r="C14" s="4">
        <v>148000000</v>
      </c>
      <c r="D14" s="6">
        <v>1.0000000000000002</v>
      </c>
      <c r="F14" s="4">
        <v>148000000</v>
      </c>
      <c r="G14" s="6">
        <v>1</v>
      </c>
      <c r="H14" s="74">
        <v>1</v>
      </c>
      <c r="J14" s="4">
        <v>148000000</v>
      </c>
      <c r="K14" s="6">
        <v>1</v>
      </c>
      <c r="L14" s="17">
        <v>1</v>
      </c>
      <c r="N14" s="4">
        <v>148000000</v>
      </c>
      <c r="O14" s="6">
        <v>1</v>
      </c>
      <c r="P14" s="17">
        <v>1</v>
      </c>
    </row>
  </sheetData>
  <mergeCells count="4">
    <mergeCell ref="C1:D1"/>
    <mergeCell ref="F1:H1"/>
    <mergeCell ref="J1:L1"/>
    <mergeCell ref="N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B608-7210-45F6-B7AF-3BF6DF4FAA8C}">
  <sheetPr>
    <pageSetUpPr fitToPage="1"/>
  </sheetPr>
  <dimension ref="A1:G20"/>
  <sheetViews>
    <sheetView zoomScaleNormal="100" workbookViewId="0"/>
  </sheetViews>
  <sheetFormatPr defaultRowHeight="14.4" x14ac:dyDescent="0.3"/>
  <cols>
    <col min="1" max="1" width="20.33203125" bestFit="1" customWidth="1"/>
    <col min="2" max="2" width="38.44140625" customWidth="1"/>
    <col min="3" max="3" width="18" customWidth="1"/>
    <col min="4" max="4" width="20.109375" customWidth="1"/>
    <col min="5" max="5" width="16" customWidth="1"/>
    <col min="6" max="6" width="15.88671875" customWidth="1"/>
    <col min="7" max="7" width="15.44140625" customWidth="1"/>
  </cols>
  <sheetData>
    <row r="1" spans="1:7" ht="26.25" customHeight="1" x14ac:dyDescent="0.3">
      <c r="A1" s="71" t="s">
        <v>134</v>
      </c>
    </row>
    <row r="2" spans="1:7" ht="28.8" x14ac:dyDescent="0.3">
      <c r="A2" s="12" t="s">
        <v>20</v>
      </c>
      <c r="B2" s="12" t="s">
        <v>21</v>
      </c>
      <c r="C2" s="27" t="s">
        <v>22</v>
      </c>
      <c r="D2" s="28" t="s">
        <v>23</v>
      </c>
      <c r="E2" s="29" t="s">
        <v>24</v>
      </c>
      <c r="F2" s="29" t="s">
        <v>25</v>
      </c>
      <c r="G2" s="29" t="s">
        <v>26</v>
      </c>
    </row>
    <row r="3" spans="1:7" x14ac:dyDescent="0.3">
      <c r="A3" s="39" t="s">
        <v>27</v>
      </c>
      <c r="B3" s="39" t="s">
        <v>28</v>
      </c>
      <c r="C3" s="40">
        <v>44545</v>
      </c>
      <c r="D3" s="36">
        <v>16640000</v>
      </c>
      <c r="E3" s="41">
        <f t="shared" ref="E3:E17" si="0">D3/4</f>
        <v>4160000</v>
      </c>
      <c r="F3" s="14"/>
      <c r="G3" s="14"/>
    </row>
    <row r="4" spans="1:7" x14ac:dyDescent="0.3">
      <c r="A4" s="39" t="s">
        <v>29</v>
      </c>
      <c r="B4" s="39" t="s">
        <v>30</v>
      </c>
      <c r="C4" s="40">
        <v>44546</v>
      </c>
      <c r="D4" s="36">
        <v>17460000</v>
      </c>
      <c r="E4" s="41">
        <f t="shared" si="0"/>
        <v>4365000</v>
      </c>
      <c r="F4" s="14"/>
      <c r="G4" s="14"/>
    </row>
    <row r="5" spans="1:7" x14ac:dyDescent="0.3">
      <c r="A5" s="39" t="s">
        <v>31</v>
      </c>
      <c r="B5" s="39" t="s">
        <v>32</v>
      </c>
      <c r="C5" s="40">
        <v>44546</v>
      </c>
      <c r="D5" s="36">
        <v>18000000</v>
      </c>
      <c r="E5" s="41">
        <f t="shared" si="0"/>
        <v>4500000</v>
      </c>
      <c r="F5" s="14"/>
      <c r="G5" s="14"/>
    </row>
    <row r="6" spans="1:7" x14ac:dyDescent="0.3">
      <c r="A6" s="39" t="s">
        <v>33</v>
      </c>
      <c r="B6" s="39" t="s">
        <v>34</v>
      </c>
      <c r="C6" s="40">
        <v>44546</v>
      </c>
      <c r="D6" s="36">
        <v>20540000</v>
      </c>
      <c r="E6" s="41">
        <f t="shared" si="0"/>
        <v>5135000</v>
      </c>
      <c r="F6" s="14"/>
      <c r="G6" s="14"/>
    </row>
    <row r="7" spans="1:7" x14ac:dyDescent="0.3">
      <c r="A7" s="18" t="s">
        <v>35</v>
      </c>
      <c r="B7" s="18" t="s">
        <v>36</v>
      </c>
      <c r="C7" s="19">
        <v>44547</v>
      </c>
      <c r="D7" s="20">
        <v>14980000</v>
      </c>
      <c r="E7" s="21">
        <f t="shared" si="0"/>
        <v>3745000</v>
      </c>
      <c r="F7" s="14"/>
      <c r="G7" s="14"/>
    </row>
    <row r="8" spans="1:7" x14ac:dyDescent="0.3">
      <c r="A8" s="18" t="s">
        <v>37</v>
      </c>
      <c r="B8" s="18" t="s">
        <v>38</v>
      </c>
      <c r="C8" s="19">
        <v>44551</v>
      </c>
      <c r="D8" s="20">
        <v>14980000</v>
      </c>
      <c r="E8" s="21">
        <f t="shared" si="0"/>
        <v>3745000</v>
      </c>
      <c r="F8" s="14"/>
      <c r="G8" s="14"/>
    </row>
    <row r="9" spans="1:7" x14ac:dyDescent="0.3">
      <c r="A9" s="39" t="s">
        <v>39</v>
      </c>
      <c r="B9" s="39" t="s">
        <v>40</v>
      </c>
      <c r="C9" s="40">
        <v>45322</v>
      </c>
      <c r="D9" s="36">
        <v>23820000</v>
      </c>
      <c r="E9" s="41">
        <f t="shared" si="0"/>
        <v>5955000</v>
      </c>
      <c r="F9" s="41">
        <v>5955000</v>
      </c>
      <c r="G9" s="41">
        <v>5955000</v>
      </c>
    </row>
    <row r="10" spans="1:7" x14ac:dyDescent="0.3">
      <c r="A10" s="18" t="s">
        <v>41</v>
      </c>
      <c r="B10" s="18" t="s">
        <v>42</v>
      </c>
      <c r="C10" s="19">
        <v>45323</v>
      </c>
      <c r="D10" s="20">
        <v>11835000</v>
      </c>
      <c r="E10" s="21">
        <f t="shared" si="0"/>
        <v>2958750</v>
      </c>
      <c r="F10" s="21">
        <v>2958750</v>
      </c>
      <c r="G10" s="21">
        <v>2958750</v>
      </c>
    </row>
    <row r="11" spans="1:7" x14ac:dyDescent="0.3">
      <c r="A11" s="18" t="s">
        <v>43</v>
      </c>
      <c r="B11" s="18" t="s">
        <v>44</v>
      </c>
      <c r="C11" s="19">
        <v>45323</v>
      </c>
      <c r="D11" s="20">
        <v>11920000</v>
      </c>
      <c r="E11" s="21">
        <f t="shared" si="0"/>
        <v>2980000</v>
      </c>
      <c r="F11" s="21">
        <v>2980000</v>
      </c>
      <c r="G11" s="21">
        <v>2980000</v>
      </c>
    </row>
    <row r="12" spans="1:7" x14ac:dyDescent="0.3">
      <c r="A12" s="39" t="s">
        <v>45</v>
      </c>
      <c r="B12" s="39" t="s">
        <v>46</v>
      </c>
      <c r="C12" s="40">
        <v>45323</v>
      </c>
      <c r="D12" s="36">
        <v>15340000</v>
      </c>
      <c r="E12" s="41">
        <f t="shared" si="0"/>
        <v>3835000</v>
      </c>
      <c r="F12" s="41">
        <v>3835000</v>
      </c>
      <c r="G12" s="41">
        <v>3835000</v>
      </c>
    </row>
    <row r="13" spans="1:7" x14ac:dyDescent="0.3">
      <c r="A13" s="39" t="s">
        <v>47</v>
      </c>
      <c r="B13" s="39" t="s">
        <v>48</v>
      </c>
      <c r="C13" s="40">
        <v>45323</v>
      </c>
      <c r="D13" s="36">
        <v>17160000</v>
      </c>
      <c r="E13" s="41">
        <f t="shared" si="0"/>
        <v>4290000</v>
      </c>
      <c r="F13" s="41">
        <v>4290000</v>
      </c>
      <c r="G13" s="41">
        <v>4290000</v>
      </c>
    </row>
    <row r="14" spans="1:7" x14ac:dyDescent="0.3">
      <c r="A14" s="39" t="s">
        <v>49</v>
      </c>
      <c r="B14" s="39" t="s">
        <v>50</v>
      </c>
      <c r="C14" s="40">
        <v>45323</v>
      </c>
      <c r="D14" s="36">
        <v>22680000</v>
      </c>
      <c r="E14" s="41">
        <f t="shared" si="0"/>
        <v>5670000</v>
      </c>
      <c r="F14" s="41">
        <v>5670000</v>
      </c>
      <c r="G14" s="41">
        <v>5670000</v>
      </c>
    </row>
    <row r="15" spans="1:7" x14ac:dyDescent="0.3">
      <c r="A15" s="39" t="s">
        <v>51</v>
      </c>
      <c r="B15" s="39" t="s">
        <v>52</v>
      </c>
      <c r="C15" s="40">
        <v>45323</v>
      </c>
      <c r="D15" s="36">
        <v>38680000</v>
      </c>
      <c r="E15" s="41">
        <f t="shared" si="0"/>
        <v>9670000</v>
      </c>
      <c r="F15" s="41">
        <v>9670000</v>
      </c>
      <c r="G15" s="41">
        <v>9670000</v>
      </c>
    </row>
    <row r="16" spans="1:7" x14ac:dyDescent="0.3">
      <c r="A16" s="18" t="s">
        <v>53</v>
      </c>
      <c r="B16" s="18" t="s">
        <v>54</v>
      </c>
      <c r="C16" s="19">
        <v>45324</v>
      </c>
      <c r="D16" s="20">
        <v>13800000</v>
      </c>
      <c r="E16" s="21">
        <f t="shared" si="0"/>
        <v>3450000</v>
      </c>
      <c r="F16" s="21">
        <v>3450000</v>
      </c>
      <c r="G16" s="21">
        <v>3450000</v>
      </c>
    </row>
    <row r="17" spans="1:7" x14ac:dyDescent="0.3">
      <c r="A17" s="39" t="s">
        <v>55</v>
      </c>
      <c r="B17" s="39" t="s">
        <v>56</v>
      </c>
      <c r="C17" s="40">
        <v>45324</v>
      </c>
      <c r="D17" s="36">
        <v>32780000</v>
      </c>
      <c r="E17" s="41">
        <f t="shared" si="0"/>
        <v>8195000</v>
      </c>
      <c r="F17" s="41">
        <v>8195000</v>
      </c>
      <c r="G17" s="41">
        <v>8195000</v>
      </c>
    </row>
    <row r="18" spans="1:7" x14ac:dyDescent="0.3">
      <c r="D18" s="5" t="s">
        <v>57</v>
      </c>
      <c r="E18" s="13">
        <f>SUM(E3:E17)</f>
        <v>72653750</v>
      </c>
      <c r="F18" s="13">
        <f>SUM(F9:F17)</f>
        <v>47003750</v>
      </c>
      <c r="G18" s="13">
        <f>SUM(G9:G17)</f>
        <v>47003750</v>
      </c>
    </row>
    <row r="19" spans="1:7" x14ac:dyDescent="0.3">
      <c r="C19" s="21"/>
      <c r="D19" s="24" t="s">
        <v>58</v>
      </c>
      <c r="E19" s="21">
        <f>E7+E8+E10+E11+E16</f>
        <v>16878750</v>
      </c>
      <c r="F19" s="21">
        <f>F10+F11+F16</f>
        <v>9388750</v>
      </c>
      <c r="G19" s="21">
        <f>G10+G11+G16</f>
        <v>9388750</v>
      </c>
    </row>
    <row r="20" spans="1:7" x14ac:dyDescent="0.3">
      <c r="C20" s="41"/>
      <c r="D20" s="42" t="s">
        <v>59</v>
      </c>
      <c r="E20" s="41">
        <f>E3+E4+E5+E6+E9+E12+E13+E14+E15+E17</f>
        <v>55775000</v>
      </c>
      <c r="F20" s="41">
        <f>F9+F12+F13+F14+F15+F17</f>
        <v>37615000</v>
      </c>
      <c r="G20" s="41">
        <f>G9+G12+G13+G14+G15+G17</f>
        <v>37615000</v>
      </c>
    </row>
  </sheetData>
  <autoFilter ref="A2:G18" xr:uid="{DCF5B608-7210-45F6-B7AF-3BF6DF4FAA8C}">
    <sortState xmlns:xlrd2="http://schemas.microsoft.com/office/spreadsheetml/2017/richdata2" ref="A3:G18">
      <sortCondition ref="C2:C18"/>
    </sortState>
  </autoFilter>
  <pageMargins left="0.7" right="0.7" top="0.75" bottom="0.75" header="0.3" footer="0.3"/>
  <pageSetup paperSize="9" scale="9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AF1EE-C1DD-44DD-9190-0E5344785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BEE674-FB8D-4528-8727-F7E18A4B4078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832BA098-4212-4AA7-AA21-FF659CAB2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Model 0</vt:lpstr>
      <vt:lpstr>Model A</vt:lpstr>
      <vt:lpstr>Model B</vt:lpstr>
      <vt:lpstr>Model C</vt:lpstr>
      <vt:lpstr>2025 alle modeller</vt:lpstr>
      <vt:lpstr>2026 alle modeller</vt:lpstr>
      <vt:lpstr>Programoversigt</vt:lpstr>
      <vt:lpstr>Programoversigt!Udskriftsområde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Møller Andersen</dc:creator>
  <cp:keywords/>
  <dc:description/>
  <cp:lastModifiedBy>Iben Westergaard Rasmussen</cp:lastModifiedBy>
  <cp:revision/>
  <dcterms:created xsi:type="dcterms:W3CDTF">2021-11-05T07:54:43Z</dcterms:created>
  <dcterms:modified xsi:type="dcterms:W3CDTF">2024-10-28T09:37:35Z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  <property fmtid="{D5CDD505-2E9C-101B-9397-08002B2CF9AE}" pid="3" name="Order">
    <vt:r8>386800</vt:r8>
  </property>
  <property fmtid="{D5CDD505-2E9C-101B-9397-08002B2CF9AE}" pid="4" name="MediaServiceImageTags">
    <vt:lpwstr/>
  </property>
</Properties>
</file>