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sudk.sharepoint.com/sites/CISUSekretariat/Delte dokumenter/General/11_Økonomi og personale/01_Regnskab/2024 ÅRS/Forening &amp; Org. Regnskab/"/>
    </mc:Choice>
  </mc:AlternateContent>
  <xr:revisionPtr revIDLastSave="739" documentId="8_{DC503093-72E6-4202-85CF-664C14A13CCF}" xr6:coauthVersionLast="47" xr6:coauthVersionMax="47" xr10:uidLastSave="{98204C35-C0BF-42B6-9F55-D46710DFC631}"/>
  <bookViews>
    <workbookView xWindow="-108" yWindow="-108" windowWidth="23256" windowHeight="12456" tabRatio="951" xr2:uid="{00000000-000D-0000-FFFF-FFFF00000000}"/>
  </bookViews>
  <sheets>
    <sheet name="RESULTAT" sheetId="5" r:id="rId1"/>
    <sheet name="BALANCE" sheetId="28" r:id="rId2"/>
    <sheet name="CISU Note 1" sheetId="27" r:id="rId3"/>
    <sheet name="CSP Note 2(A)" sheetId="33" r:id="rId4"/>
    <sheet name="CSP Note 2(B)" sheetId="11" r:id="rId5"/>
    <sheet name="DERF 2 Note 3" sheetId="36" r:id="rId6"/>
    <sheet name="OPEN Note 4" sheetId="30" r:id="rId7"/>
    <sheet name="CONN Note 5" sheetId="35" r:id="rId8"/>
  </sheets>
  <definedNames>
    <definedName name="Print_Area" localSheetId="1">BALANCE!$A$1:$G$27</definedName>
    <definedName name="Print_Area" localSheetId="2">'CISU Note 1'!$A:$E</definedName>
    <definedName name="Print_Area" localSheetId="4">'CSP Note 2(B)'!$A$1:$F$47</definedName>
    <definedName name="Print_Area" localSheetId="6">'OPEN Note 4'!$A:$G</definedName>
    <definedName name="Print_Area" localSheetId="0">RESULTAT!$C$1:$G$22</definedName>
    <definedName name="slutdato">#REF!</definedName>
    <definedName name="startdato">#REF!</definedName>
    <definedName name="_xlnm.Print_Area" localSheetId="1">BALANCE!$A:$G</definedName>
    <definedName name="_xlnm.Print_Area" localSheetId="2">'CISU Note 1'!$A$1:$F$29</definedName>
    <definedName name="_xlnm.Print_Area" localSheetId="7">'CONN Note 5'!$A:$C</definedName>
    <definedName name="_xlnm.Print_Area" localSheetId="3">'CSP Note 2(A)'!$B:$G</definedName>
    <definedName name="_xlnm.Print_Area" localSheetId="4">'CSP Note 2(B)'!$B$2:$G$77</definedName>
    <definedName name="_xlnm.Print_Area" localSheetId="6">'OPEN Note 4'!$A$1:$F$45</definedName>
    <definedName name="_xlnm.Print_Area" localSheetId="0">RESULTAT!$B:$G</definedName>
    <definedName name="_xlnm.Print_Titles" localSheetId="4">'CSP Note 2(B)'!$2:$2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8" l="1"/>
  <c r="F10" i="28" s="1"/>
  <c r="G17" i="28"/>
  <c r="G24" i="28" s="1"/>
  <c r="F17" i="28"/>
  <c r="G10" i="28"/>
  <c r="B22" i="28"/>
  <c r="B13" i="28"/>
  <c r="B5" i="28"/>
  <c r="E26" i="27"/>
  <c r="D26" i="27"/>
  <c r="C26" i="27"/>
  <c r="B26" i="27"/>
  <c r="F25" i="27"/>
  <c r="F23" i="27"/>
  <c r="F22" i="27"/>
  <c r="B24" i="28" l="1"/>
  <c r="B26" i="28" s="1"/>
  <c r="F26" i="27"/>
  <c r="E14" i="27" l="1"/>
  <c r="B14" i="27"/>
  <c r="D11" i="5"/>
  <c r="D9" i="5"/>
  <c r="D8" i="5"/>
  <c r="G20" i="11" l="1"/>
  <c r="E21" i="35"/>
  <c r="D13" i="5" s="1"/>
  <c r="D14" i="5" s="1"/>
  <c r="F22" i="28"/>
  <c r="F24" i="28" s="1"/>
  <c r="E14" i="5"/>
  <c r="C43" i="30"/>
  <c r="C45" i="30"/>
  <c r="C43" i="36"/>
  <c r="C45" i="36"/>
  <c r="F18" i="27"/>
  <c r="F17" i="27"/>
  <c r="E19" i="27"/>
  <c r="E27" i="27" s="1"/>
  <c r="D19" i="27"/>
  <c r="D27" i="27" s="1"/>
  <c r="C19" i="27"/>
  <c r="C27" i="27" s="1"/>
  <c r="B19" i="27"/>
  <c r="B27" i="27" s="1"/>
  <c r="E7" i="27"/>
  <c r="E3" i="5" s="1"/>
  <c r="D7" i="27"/>
  <c r="C7" i="27"/>
  <c r="B7" i="27"/>
  <c r="D3" i="5" s="1"/>
  <c r="F6" i="27"/>
  <c r="F5" i="27"/>
  <c r="F4" i="27"/>
  <c r="F3" i="27"/>
  <c r="B29" i="27" l="1"/>
  <c r="F4" i="28" s="1"/>
  <c r="E4" i="5"/>
  <c r="F7" i="27"/>
  <c r="D4" i="5" l="1"/>
  <c r="E29" i="27"/>
  <c r="G4" i="28" s="1"/>
  <c r="G77" i="11"/>
  <c r="E77" i="11"/>
  <c r="C77" i="11"/>
  <c r="G75" i="11"/>
  <c r="E75" i="11"/>
  <c r="C75" i="11"/>
  <c r="C64" i="11"/>
  <c r="E64" i="11"/>
  <c r="G64" i="11"/>
  <c r="G53" i="11"/>
  <c r="E53" i="11"/>
  <c r="C53" i="11"/>
  <c r="C42" i="11"/>
  <c r="E42" i="11"/>
  <c r="G42" i="11"/>
  <c r="G31" i="11"/>
  <c r="E31" i="11"/>
  <c r="C31" i="11"/>
  <c r="E20" i="11"/>
  <c r="C20" i="11"/>
  <c r="C15" i="11"/>
  <c r="G9" i="11"/>
  <c r="E9" i="11"/>
  <c r="C9" i="11"/>
  <c r="G5" i="28" l="1"/>
  <c r="F3" i="28" s="1"/>
  <c r="F5" i="28" s="1"/>
  <c r="F30" i="30"/>
  <c r="E30" i="30"/>
  <c r="D30" i="30"/>
  <c r="C30" i="30"/>
  <c r="F28" i="30"/>
  <c r="E28" i="30"/>
  <c r="D28" i="30"/>
  <c r="C28" i="30"/>
  <c r="F24" i="30"/>
  <c r="E24" i="30"/>
  <c r="D24" i="30"/>
  <c r="C24" i="30"/>
  <c r="F12" i="30"/>
  <c r="E12" i="30"/>
  <c r="D12" i="30"/>
  <c r="C12" i="30"/>
  <c r="G18" i="33" l="1"/>
  <c r="E18" i="33"/>
  <c r="C18" i="33"/>
  <c r="D5" i="5"/>
  <c r="E5" i="5" l="1"/>
  <c r="G8" i="33"/>
  <c r="D5" i="30" l="1"/>
  <c r="C5" i="30"/>
  <c r="D3" i="30" l="1"/>
  <c r="D4" i="30"/>
  <c r="D6" i="30" l="1"/>
  <c r="D35" i="30" l="1"/>
  <c r="D34" i="30"/>
  <c r="D33" i="30"/>
  <c r="C5" i="28"/>
  <c r="C13" i="28" l="1"/>
  <c r="C22" i="28"/>
  <c r="C24" i="28" l="1"/>
  <c r="C26" i="28" s="1"/>
  <c r="E8" i="33" l="1"/>
  <c r="C8" i="33"/>
  <c r="D29" i="27"/>
  <c r="E5" i="30"/>
  <c r="F5" i="30" s="1"/>
  <c r="C3" i="30"/>
  <c r="C6" i="30" s="1"/>
  <c r="E3" i="30"/>
  <c r="E4" i="30"/>
  <c r="F4" i="30" s="1"/>
  <c r="C4" i="30"/>
  <c r="G14" i="5"/>
  <c r="F14" i="5"/>
  <c r="G5" i="5"/>
  <c r="F15" i="27"/>
  <c r="F14" i="27"/>
  <c r="F13" i="27"/>
  <c r="F12" i="27"/>
  <c r="F20" i="27"/>
  <c r="F10" i="27"/>
  <c r="F5" i="5"/>
  <c r="F3" i="30" l="1"/>
  <c r="F6" i="30" s="1"/>
  <c r="E6" i="30"/>
  <c r="C29" i="27"/>
  <c r="F19" i="27"/>
  <c r="F27" i="27"/>
  <c r="C34" i="30" l="1"/>
  <c r="E33" i="30"/>
  <c r="C35" i="30"/>
  <c r="C33" i="30"/>
  <c r="D36" i="30" l="1"/>
  <c r="E35" i="30"/>
  <c r="E34" i="30"/>
  <c r="C36" i="30"/>
  <c r="E36" i="30" l="1"/>
  <c r="F26" i="28"/>
  <c r="G26" i="28"/>
</calcChain>
</file>

<file path=xl/sharedStrings.xml><?xml version="1.0" encoding="utf-8"?>
<sst xmlns="http://schemas.openxmlformats.org/spreadsheetml/2006/main" count="393" uniqueCount="226">
  <si>
    <t>Note</t>
  </si>
  <si>
    <t>Foreningen CISU</t>
  </si>
  <si>
    <t>År 2024</t>
  </si>
  <si>
    <t>År 2023</t>
  </si>
  <si>
    <t>År 2022</t>
  </si>
  <si>
    <t>År 2021</t>
  </si>
  <si>
    <t>Omsætning</t>
  </si>
  <si>
    <t>Udgifter</t>
  </si>
  <si>
    <t>Årets resultat</t>
  </si>
  <si>
    <t xml:space="preserve">Omsætning i CISUs Puljeforvaltning </t>
  </si>
  <si>
    <t>Puljen for Civilsamfund og tillægstilsagn (CSP+)</t>
  </si>
  <si>
    <t>Danish Emergency Relief Fund (DERF puljen) II</t>
  </si>
  <si>
    <t>Danish Emergency Relief Fund (DERF puljen) I</t>
  </si>
  <si>
    <t>Oplysnings- og Engagementspuljen (OPEN)</t>
  </si>
  <si>
    <t>Management Danish Emergency Relief Fund (DERF) I</t>
  </si>
  <si>
    <t>Connect for Global Change</t>
  </si>
  <si>
    <t>Omsætning i CISUs Puljeforvaltning i alt</t>
  </si>
  <si>
    <t xml:space="preserve"> </t>
  </si>
  <si>
    <t>AKTIVER</t>
  </si>
  <si>
    <t>PASSIVER</t>
  </si>
  <si>
    <t>ANLÆGSAKTIVER</t>
  </si>
  <si>
    <t>EGENKAPITAL</t>
  </si>
  <si>
    <t>Immaterielle anlægsaktiver</t>
  </si>
  <si>
    <t>Primo</t>
  </si>
  <si>
    <t>Materielle anlægsaktiver</t>
  </si>
  <si>
    <t>ANLÆGSAKTIVER I ALT</t>
  </si>
  <si>
    <t>Ultimo</t>
  </si>
  <si>
    <t>OMSÆTNINGSAKTIVER</t>
  </si>
  <si>
    <t>HENSÆTTELSER</t>
  </si>
  <si>
    <t>Tilgodehavender</t>
  </si>
  <si>
    <t>Udisponerede Puljemidler</t>
  </si>
  <si>
    <t>Debitorgruppe 1 (CISU medlemmer)</t>
  </si>
  <si>
    <t>Andre hensættelser</t>
  </si>
  <si>
    <t>Debitorgruppe 3 (UM &amp; EU)</t>
  </si>
  <si>
    <t>HENSÆTTELSER I ALT</t>
  </si>
  <si>
    <t>Deposita (på lejemål)</t>
  </si>
  <si>
    <t>Andre tilgodehavender</t>
  </si>
  <si>
    <t>SKYLDIGE OMKOSTNINGER</t>
  </si>
  <si>
    <t>Tilgodehavender i alt</t>
  </si>
  <si>
    <t>Puljebevillinger tilgodehavender</t>
  </si>
  <si>
    <t>Kreditorer CSP+ bevillinger</t>
  </si>
  <si>
    <t>Likvide beholdninger</t>
  </si>
  <si>
    <t>Kreditorer DERF bevillinger</t>
  </si>
  <si>
    <t>Civilsamfundspuljen &amp; Tillæg (CSP+)</t>
  </si>
  <si>
    <t>Kreditorer OPEN bevillinger</t>
  </si>
  <si>
    <t>Danish Emergency Relief Fund (DERF) I</t>
  </si>
  <si>
    <t xml:space="preserve">Puljebevillinger tilgodehavender i alt </t>
  </si>
  <si>
    <t>Danish Emergency Relief Fund (DERF) II</t>
  </si>
  <si>
    <t>Personaleomkostninger</t>
  </si>
  <si>
    <t>Skyldig A-skat, ATP &amp; Feriepengehensættelse</t>
  </si>
  <si>
    <t xml:space="preserve">Foreningskonti, lønkonto m.fl. </t>
  </si>
  <si>
    <t>Likvide beholdninger i alt</t>
  </si>
  <si>
    <t>Andre skyldige omkostninger</t>
  </si>
  <si>
    <t>OMSÆTNINGSAKTIVER I ALT</t>
  </si>
  <si>
    <t>SKYLDIGE OMKOSTNINGER I ALT</t>
  </si>
  <si>
    <t>Beskrivelse</t>
  </si>
  <si>
    <t>Regnskab 2024</t>
  </si>
  <si>
    <t>Opd.Budget 2024</t>
  </si>
  <si>
    <t>Orig. Budget 2024</t>
  </si>
  <si>
    <t>Regnskab 2023</t>
  </si>
  <si>
    <t>Resultat i % af Budget</t>
  </si>
  <si>
    <t>CISU Kontingent</t>
  </si>
  <si>
    <t>Udlodningsmidlerne</t>
  </si>
  <si>
    <t xml:space="preserve">Bidrag fra puljeforvaltningsaftaler m.fl. </t>
  </si>
  <si>
    <t>Salg af konsulentydelser (Bev.udvalg mm)</t>
  </si>
  <si>
    <t xml:space="preserve">Omsætning i alt </t>
  </si>
  <si>
    <t>Personale</t>
  </si>
  <si>
    <t>Medlemmer &amp; Bestyrelsen</t>
  </si>
  <si>
    <t>Bestyrelseshonorar</t>
  </si>
  <si>
    <t>Bistand til bestyrelsen</t>
  </si>
  <si>
    <t>Bestyrelsens Rejser og Mødeudgifter (inkl. Folkemøder)</t>
  </si>
  <si>
    <t>EKmidler til bestyrelsens kapacitetsudvikling</t>
  </si>
  <si>
    <t>Foreningsaktiviteter</t>
  </si>
  <si>
    <t>Generalforsamling</t>
  </si>
  <si>
    <t>Medlemsengagement</t>
  </si>
  <si>
    <t>Subtotal Medlemmer &amp; Bestyrelsen</t>
  </si>
  <si>
    <t>Kontorhold &amp; Drift</t>
  </si>
  <si>
    <t>Særlige aktiviteter</t>
  </si>
  <si>
    <t>Kontingenter/abonnementer</t>
  </si>
  <si>
    <t>Udviklingspuljen</t>
  </si>
  <si>
    <t>Rejse og Mødeudgifter v. kons.ydelser</t>
  </si>
  <si>
    <t>Grønt Regnskab Afregning</t>
  </si>
  <si>
    <t>Subtotal særlige aktiviteter</t>
  </si>
  <si>
    <t>Udgifter i alt</t>
  </si>
  <si>
    <t xml:space="preserve">Årets Resultat </t>
  </si>
  <si>
    <t>Midler til rådighed fra Udenrigsministeriet</t>
  </si>
  <si>
    <t>Oprindeligt budget</t>
  </si>
  <si>
    <t>Opdateret budget</t>
  </si>
  <si>
    <t>Regnskab</t>
  </si>
  <si>
    <t>Ikke disponerede tilsagn overført fra tidligere år</t>
  </si>
  <si>
    <t>Tilsagn fra Udenrigsministeriet, tidligere år til anvendelse i året</t>
  </si>
  <si>
    <t>Tilsagn fra Udenrigsministeriet, indeværende år</t>
  </si>
  <si>
    <t xml:space="preserve">Afregning m. bevillingshavere, renter, kursusbrugerbetaling m.m. </t>
  </si>
  <si>
    <t>Total til disposition</t>
  </si>
  <si>
    <t>Civilsamfundspuljens anvendelse på vinduer/modaliteter</t>
  </si>
  <si>
    <t>Oplysningspuljen</t>
  </si>
  <si>
    <t xml:space="preserve">Puljevindue 1: CSP Classic  </t>
  </si>
  <si>
    <t xml:space="preserve">Puljevindue 2: CSP Folkeligt Engagement </t>
  </si>
  <si>
    <t>Puljevindue 3: CSP Råderum (afsluttet i 2024)</t>
  </si>
  <si>
    <t>Puljevindue 4 CSP Klima (2018-2021) (afsluttet i 2024)</t>
  </si>
  <si>
    <t>Puljevindue 5 CSP Klima/CCAM (2022-2025)</t>
  </si>
  <si>
    <t>Puljevindue 6 CSP Naboskabsvindue (2023-2026)</t>
  </si>
  <si>
    <t>Civilsamfundspuljens aktiviteter og bevillinger i alt</t>
  </si>
  <si>
    <t>Opdateret Budget</t>
  </si>
  <si>
    <t>A1 - Aktivitetsomkostninger</t>
  </si>
  <si>
    <t>A2 - Overførsler til uafhængige partnere (OPLP)</t>
  </si>
  <si>
    <t>A3 - Programunderstøttende funktioner</t>
  </si>
  <si>
    <t>Subtotal PPA</t>
  </si>
  <si>
    <t>Total</t>
  </si>
  <si>
    <t>A2 - Overførsler til uafhængige partnere (bevillingshavere)</t>
  </si>
  <si>
    <t>A.5. Oplysningsaktiviteter</t>
  </si>
  <si>
    <t>A.6. Uallokerede midler (inkl. budgetreserve)</t>
  </si>
  <si>
    <t>A.7. Revision</t>
  </si>
  <si>
    <t>B.1. Administration</t>
  </si>
  <si>
    <t xml:space="preserve">Total </t>
  </si>
  <si>
    <t>Puljevindue 3: CSP Råderum</t>
  </si>
  <si>
    <t>Puljevindue 4 CSP Klima (2018-2021)</t>
  </si>
  <si>
    <r>
      <t xml:space="preserve">B.1. Administration, </t>
    </r>
    <r>
      <rPr>
        <i/>
        <sz val="11"/>
        <rFont val="Garamond"/>
        <family val="1"/>
      </rPr>
      <t>lump sum flat rate</t>
    </r>
  </si>
  <si>
    <t>DERF 2021- 2024 Annual Accounts 2024</t>
  </si>
  <si>
    <t>Main Categories</t>
  </si>
  <si>
    <t xml:space="preserve">Orig. Budget </t>
  </si>
  <si>
    <t>Opd. Budget</t>
  </si>
  <si>
    <t>Accounts</t>
  </si>
  <si>
    <t>Balance</t>
  </si>
  <si>
    <t>A</t>
  </si>
  <si>
    <t>General administration</t>
  </si>
  <si>
    <t>B</t>
  </si>
  <si>
    <t xml:space="preserve"> Programme support</t>
  </si>
  <si>
    <t>C</t>
  </si>
  <si>
    <t>DERF Pool of funds</t>
  </si>
  <si>
    <t>D</t>
  </si>
  <si>
    <t>Total Annual Budget &amp; Account</t>
  </si>
  <si>
    <t>(A) General administration</t>
  </si>
  <si>
    <t>A.1.1</t>
  </si>
  <si>
    <t xml:space="preserve">Key Staff - Long-term (CISU Staff) </t>
  </si>
  <si>
    <t>A.1.2.1</t>
  </si>
  <si>
    <t>Steering Committee &amp; Advisory Board</t>
  </si>
  <si>
    <t>A.1.2.2</t>
  </si>
  <si>
    <t xml:space="preserve">Grant Committee </t>
  </si>
  <si>
    <t>A.1.3.1</t>
  </si>
  <si>
    <t xml:space="preserve">Unspecified costs </t>
  </si>
  <si>
    <t>(A) General administration Total</t>
  </si>
  <si>
    <t>(B) Programme Support</t>
  </si>
  <si>
    <t>A.2.1</t>
  </si>
  <si>
    <t>A.2.2.1</t>
  </si>
  <si>
    <t>Assessment Consultants</t>
  </si>
  <si>
    <t>B.2.X.</t>
  </si>
  <si>
    <t>Monitoring visits</t>
  </si>
  <si>
    <t>Steering Committee</t>
  </si>
  <si>
    <t>Advisory Board</t>
  </si>
  <si>
    <t>HQAI Verification Process</t>
  </si>
  <si>
    <t>Capacity Building/Training/Networking</t>
  </si>
  <si>
    <t>DERF Review &amp; Scoping Study 2023-2024</t>
  </si>
  <si>
    <t>(B) Programme Support Total</t>
  </si>
  <si>
    <t>(C) DERF Pool of funds</t>
  </si>
  <si>
    <t>DERF Grants to Danish CSOs and partners</t>
  </si>
  <si>
    <t xml:space="preserve">(C) DERF Pool of funds Total </t>
  </si>
  <si>
    <t>(D) Total Annual Budget &amp; Account</t>
  </si>
  <si>
    <t>Orig. Budget %</t>
  </si>
  <si>
    <t>Opd. Budget %</t>
  </si>
  <si>
    <t>Accounts in %</t>
  </si>
  <si>
    <t>DERF 2021-2024 Balance 31.12.2024</t>
  </si>
  <si>
    <t>Assets</t>
  </si>
  <si>
    <t xml:space="preserve">DERF2 Bank Account </t>
  </si>
  <si>
    <t>DMFA Receivables (acc. To contract)</t>
  </si>
  <si>
    <t>Other Assets</t>
  </si>
  <si>
    <t>Liabilities</t>
  </si>
  <si>
    <t xml:space="preserve">DERF Grantees Provisions (Creditors) </t>
  </si>
  <si>
    <t>Undisposed funds transfered to next year</t>
  </si>
  <si>
    <t xml:space="preserve">Other Liabilities </t>
  </si>
  <si>
    <t>Balance Reconciliation</t>
  </si>
  <si>
    <t>OPEN Annual Accounts 2024</t>
  </si>
  <si>
    <t>OPEN Pool of funds</t>
  </si>
  <si>
    <t xml:space="preserve">Key Staff - Long-term (CISU &amp; RF Staff) </t>
  </si>
  <si>
    <t>A.2.2.</t>
  </si>
  <si>
    <t>Grant Committee &amp; Short Term experts</t>
  </si>
  <si>
    <t>B.2.1</t>
  </si>
  <si>
    <t xml:space="preserve">International travel </t>
  </si>
  <si>
    <t>B.2.2</t>
  </si>
  <si>
    <t>Local travel</t>
  </si>
  <si>
    <t>B.2.3</t>
  </si>
  <si>
    <t>Subsistence allowance</t>
  </si>
  <si>
    <t>B.2.4.1-6.</t>
  </si>
  <si>
    <t xml:space="preserve">Other project related expenses - CISU </t>
  </si>
  <si>
    <t>B.2.4.7-10.</t>
  </si>
  <si>
    <t>Other project related expenses - RF activitites</t>
  </si>
  <si>
    <t>B.2.4.11-13.</t>
  </si>
  <si>
    <t>Other project related expenses - The Why activitites</t>
  </si>
  <si>
    <t>B.2.4.14-17.</t>
  </si>
  <si>
    <t>Other project related expenses - Deltager DK activitites</t>
  </si>
  <si>
    <t>(C) OPEN Pool of funds</t>
  </si>
  <si>
    <t>OPEN Grants to Danish CSOs and partners</t>
  </si>
  <si>
    <t xml:space="preserve">(C) OPEN Pool of funds Total </t>
  </si>
  <si>
    <t>Programme support</t>
  </si>
  <si>
    <t>OPEN Balance 31.12.2024</t>
  </si>
  <si>
    <t xml:space="preserve">OPEN Bank Account </t>
  </si>
  <si>
    <t xml:space="preserve">OPEN Grantees Provisions (Creditors) </t>
  </si>
  <si>
    <t>Cat. No.</t>
  </si>
  <si>
    <t>Connect For Global Change Accounts 31.12.2024</t>
  </si>
  <si>
    <t>EUR</t>
  </si>
  <si>
    <t>Human Resources</t>
  </si>
  <si>
    <t>Travel</t>
  </si>
  <si>
    <t>Equipment and supplies</t>
  </si>
  <si>
    <t>Project office</t>
  </si>
  <si>
    <t>Other costs, services</t>
  </si>
  <si>
    <t>Other</t>
  </si>
  <si>
    <t xml:space="preserve">Subtotal direct eligible costs of the Action (1-6) </t>
  </si>
  <si>
    <t>Indirect Costs</t>
  </si>
  <si>
    <t>Total eligible costs of the Action</t>
  </si>
  <si>
    <t>Not Applicable</t>
  </si>
  <si>
    <t>Total eligible costs</t>
  </si>
  <si>
    <t>Taxes + Contributions in Kind</t>
  </si>
  <si>
    <t>Total accepted costs of the action (11+12)</t>
  </si>
  <si>
    <t>Balance 31.12.2024</t>
  </si>
  <si>
    <t>Kurs EUR-DKK</t>
  </si>
  <si>
    <t>Liquidities</t>
  </si>
  <si>
    <t>Wilde Ganzen (Debtor)</t>
  </si>
  <si>
    <t>Other Recievables</t>
  </si>
  <si>
    <t>Liabilites</t>
  </si>
  <si>
    <t>Internal Payables and Recievables</t>
  </si>
  <si>
    <t>Interests to be returned to EU</t>
  </si>
  <si>
    <t>Income</t>
  </si>
  <si>
    <t>Funds recieved from WG calender year</t>
  </si>
  <si>
    <t>Expenses</t>
  </si>
  <si>
    <t>Total Expenses</t>
  </si>
  <si>
    <t>Balance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</si>
</sst>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#,##0_ ;\-#,##0\ "/>
    <numFmt numFmtId="169" formatCode="_-* #,##0.00\ _k_r_._-;\-* #,##0.00\ _k_r_._-;_-* &quot;-&quot;??\ _k_r_._-;_-@_-"/>
    <numFmt numFmtId="170" formatCode="_(* #,##0_);_(* \(#,##0\);_(* &quot;-&quot;??_);_(@_)"/>
    <numFmt numFmtId="171" formatCode="_ * #,##0.0000_ ;_ * \-#,##0.0000_ ;_ * &quot;-&quot;??_ ;_ @_ "/>
    <numFmt numFmtId="172" formatCode="_-* #,##0.000000000\ _k_r_._-;\-* #,##0.000000000\ _k_r_._-;_-* &quot;-&quot;??\ _k_r_._-;_-@_-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Garamond"/>
      <family val="1"/>
    </font>
    <font>
      <b/>
      <sz val="16"/>
      <color theme="1"/>
      <name val="Calibri"/>
      <family val="2"/>
      <scheme val="minor"/>
    </font>
    <font>
      <i/>
      <sz val="11"/>
      <name val="Garamond"/>
      <family val="1"/>
    </font>
    <font>
      <b/>
      <sz val="12"/>
      <color theme="1"/>
      <name val="Garamond"/>
      <family val="1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164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2" borderId="9" applyNumberFormat="0" applyFont="0" applyAlignment="0" applyProtection="0"/>
    <xf numFmtId="0" fontId="1" fillId="2" borderId="9" applyNumberFormat="0" applyFont="0" applyAlignment="0" applyProtection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6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4">
    <xf numFmtId="0" fontId="0" fillId="0" borderId="0" xfId="0"/>
    <xf numFmtId="165" fontId="5" fillId="0" borderId="0" xfId="6" applyNumberFormat="1" applyFont="1" applyFill="1" applyBorder="1"/>
    <xf numFmtId="165" fontId="5" fillId="0" borderId="0" xfId="6" applyNumberFormat="1" applyFont="1"/>
    <xf numFmtId="165" fontId="0" fillId="0" borderId="0" xfId="0" applyNumberFormat="1"/>
    <xf numFmtId="0" fontId="7" fillId="0" borderId="0" xfId="0" applyFont="1"/>
    <xf numFmtId="0" fontId="8" fillId="0" borderId="0" xfId="0" applyFont="1"/>
    <xf numFmtId="165" fontId="5" fillId="0" borderId="0" xfId="6" applyNumberFormat="1" applyFont="1" applyBorder="1"/>
    <xf numFmtId="0" fontId="9" fillId="0" borderId="0" xfId="0" applyFont="1" applyAlignment="1">
      <alignment wrapText="1"/>
    </xf>
    <xf numFmtId="165" fontId="7" fillId="0" borderId="0" xfId="0" applyNumberFormat="1" applyFont="1"/>
    <xf numFmtId="9" fontId="5" fillId="0" borderId="0" xfId="11" applyFont="1"/>
    <xf numFmtId="0" fontId="9" fillId="0" borderId="0" xfId="0" applyFont="1"/>
    <xf numFmtId="0" fontId="0" fillId="0" borderId="4" xfId="0" applyBorder="1"/>
    <xf numFmtId="165" fontId="5" fillId="0" borderId="4" xfId="6" applyNumberFormat="1" applyFont="1" applyBorder="1"/>
    <xf numFmtId="165" fontId="9" fillId="0" borderId="4" xfId="6" applyNumberFormat="1" applyFont="1" applyBorder="1"/>
    <xf numFmtId="165" fontId="5" fillId="0" borderId="8" xfId="6" applyNumberFormat="1" applyFont="1" applyBorder="1"/>
    <xf numFmtId="0" fontId="9" fillId="0" borderId="4" xfId="6" applyNumberFormat="1" applyFont="1" applyBorder="1" applyAlignment="1">
      <alignment horizontal="center"/>
    </xf>
    <xf numFmtId="0" fontId="9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 indent="1"/>
    </xf>
    <xf numFmtId="0" fontId="12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 inden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165" fontId="11" fillId="4" borderId="4" xfId="6" applyNumberFormat="1" applyFont="1" applyFill="1" applyBorder="1" applyAlignment="1">
      <alignment horizontal="center" vertical="center" wrapText="1"/>
    </xf>
    <xf numFmtId="9" fontId="11" fillId="5" borderId="4" xfId="11" applyFont="1" applyFill="1" applyBorder="1" applyAlignment="1">
      <alignment vertical="center" wrapText="1"/>
    </xf>
    <xf numFmtId="3" fontId="14" fillId="0" borderId="4" xfId="6" applyNumberFormat="1" applyFont="1" applyBorder="1" applyAlignment="1">
      <alignment vertical="center" wrapText="1"/>
    </xf>
    <xf numFmtId="3" fontId="11" fillId="5" borderId="4" xfId="6" applyNumberFormat="1" applyFont="1" applyFill="1" applyBorder="1" applyAlignment="1">
      <alignment vertical="center" wrapText="1"/>
    </xf>
    <xf numFmtId="3" fontId="5" fillId="0" borderId="0" xfId="6" applyNumberFormat="1" applyFont="1"/>
    <xf numFmtId="3" fontId="11" fillId="4" borderId="4" xfId="6" applyNumberFormat="1" applyFont="1" applyFill="1" applyBorder="1" applyAlignment="1">
      <alignment horizontal="center" vertical="center" wrapText="1"/>
    </xf>
    <xf numFmtId="3" fontId="11" fillId="4" borderId="4" xfId="6" applyNumberFormat="1" applyFont="1" applyFill="1" applyBorder="1" applyAlignment="1">
      <alignment vertical="center" wrapText="1"/>
    </xf>
    <xf numFmtId="3" fontId="0" fillId="0" borderId="0" xfId="0" applyNumberFormat="1"/>
    <xf numFmtId="9" fontId="14" fillId="0" borderId="4" xfId="11" applyFont="1" applyBorder="1" applyAlignment="1">
      <alignment vertical="center" wrapText="1"/>
    </xf>
    <xf numFmtId="0" fontId="3" fillId="0" borderId="0" xfId="8" applyFont="1" applyAlignment="1">
      <alignment horizontal="left"/>
    </xf>
    <xf numFmtId="3" fontId="3" fillId="0" borderId="0" xfId="0" applyNumberFormat="1" applyFont="1"/>
    <xf numFmtId="9" fontId="3" fillId="0" borderId="0" xfId="0" applyNumberFormat="1" applyFont="1" applyAlignment="1">
      <alignment horizontal="left"/>
    </xf>
    <xf numFmtId="0" fontId="2" fillId="6" borderId="5" xfId="8" applyFont="1" applyFill="1" applyBorder="1"/>
    <xf numFmtId="3" fontId="2" fillId="6" borderId="6" xfId="8" applyNumberFormat="1" applyFont="1" applyFill="1" applyBorder="1"/>
    <xf numFmtId="3" fontId="3" fillId="0" borderId="0" xfId="8" applyNumberFormat="1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center"/>
    </xf>
    <xf numFmtId="9" fontId="4" fillId="0" borderId="0" xfId="0" applyNumberFormat="1" applyFont="1" applyAlignment="1">
      <alignment horizontal="left"/>
    </xf>
    <xf numFmtId="0" fontId="15" fillId="7" borderId="1" xfId="0" quotePrefix="1" applyFont="1" applyFill="1" applyBorder="1" applyAlignment="1">
      <alignment vertical="center" wrapText="1"/>
    </xf>
    <xf numFmtId="0" fontId="2" fillId="7" borderId="1" xfId="8" quotePrefix="1" applyFont="1" applyFill="1" applyBorder="1" applyAlignment="1">
      <alignment horizontal="center" wrapText="1"/>
    </xf>
    <xf numFmtId="0" fontId="2" fillId="7" borderId="1" xfId="8" quotePrefix="1" applyFont="1" applyFill="1" applyBorder="1" applyAlignment="1">
      <alignment horizontal="center" vertical="center" wrapText="1"/>
    </xf>
    <xf numFmtId="0" fontId="4" fillId="8" borderId="0" xfId="0" applyFont="1" applyFill="1"/>
    <xf numFmtId="3" fontId="4" fillId="8" borderId="0" xfId="0" applyNumberFormat="1" applyFont="1" applyFill="1"/>
    <xf numFmtId="0" fontId="2" fillId="0" borderId="0" xfId="8" applyFont="1" applyAlignment="1">
      <alignment horizontal="left"/>
    </xf>
    <xf numFmtId="3" fontId="2" fillId="0" borderId="0" xfId="0" applyNumberFormat="1" applyFont="1"/>
    <xf numFmtId="0" fontId="2" fillId="8" borderId="0" xfId="8" applyFont="1" applyFill="1"/>
    <xf numFmtId="0" fontId="2" fillId="0" borderId="0" xfId="8" applyFont="1"/>
    <xf numFmtId="3" fontId="4" fillId="0" borderId="0" xfId="0" applyNumberFormat="1" applyFont="1"/>
    <xf numFmtId="0" fontId="3" fillId="0" borderId="0" xfId="8" applyFont="1"/>
    <xf numFmtId="0" fontId="2" fillId="7" borderId="5" xfId="8" applyFont="1" applyFill="1" applyBorder="1"/>
    <xf numFmtId="3" fontId="2" fillId="7" borderId="6" xfId="8" applyNumberFormat="1" applyFont="1" applyFill="1" applyBorder="1"/>
    <xf numFmtId="168" fontId="5" fillId="0" borderId="0" xfId="6" applyNumberFormat="1" applyFont="1" applyBorder="1"/>
    <xf numFmtId="0" fontId="13" fillId="0" borderId="0" xfId="0" applyFont="1" applyAlignment="1">
      <alignment horizontal="center" vertical="center" wrapText="1"/>
    </xf>
    <xf numFmtId="165" fontId="5" fillId="0" borderId="4" xfId="6" applyNumberFormat="1" applyFont="1" applyFill="1" applyBorder="1"/>
    <xf numFmtId="164" fontId="7" fillId="0" borderId="0" xfId="6" applyFont="1"/>
    <xf numFmtId="164" fontId="7" fillId="0" borderId="0" xfId="0" applyNumberFormat="1" applyFont="1"/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wrapText="1"/>
    </xf>
    <xf numFmtId="43" fontId="20" fillId="0" borderId="4" xfId="0" applyNumberFormat="1" applyFont="1" applyBorder="1" applyAlignment="1">
      <alignment horizontal="left" wrapText="1"/>
    </xf>
    <xf numFmtId="0" fontId="20" fillId="0" borderId="4" xfId="0" applyFont="1" applyBorder="1" applyAlignment="1">
      <alignment vertical="center" wrapText="1"/>
    </xf>
    <xf numFmtId="43" fontId="20" fillId="0" borderId="4" xfId="0" applyNumberFormat="1" applyFont="1" applyBorder="1" applyAlignment="1">
      <alignment vertical="center" wrapText="1"/>
    </xf>
    <xf numFmtId="0" fontId="20" fillId="10" borderId="4" xfId="0" applyFont="1" applyFill="1" applyBorder="1" applyAlignment="1">
      <alignment horizontal="center" wrapText="1"/>
    </xf>
    <xf numFmtId="0" fontId="20" fillId="10" borderId="4" xfId="0" applyFont="1" applyFill="1" applyBorder="1" applyAlignment="1">
      <alignment horizontal="left" wrapText="1"/>
    </xf>
    <xf numFmtId="43" fontId="20" fillId="10" borderId="4" xfId="0" applyNumberFormat="1" applyFont="1" applyFill="1" applyBorder="1" applyAlignment="1">
      <alignment horizontal="left" wrapText="1"/>
    </xf>
    <xf numFmtId="0" fontId="20" fillId="11" borderId="4" xfId="0" applyFont="1" applyFill="1" applyBorder="1" applyAlignment="1">
      <alignment horizontal="left" vertical="center" wrapText="1"/>
    </xf>
    <xf numFmtId="0" fontId="20" fillId="12" borderId="4" xfId="0" applyFont="1" applyFill="1" applyBorder="1" applyAlignment="1">
      <alignment horizontal="center" wrapText="1"/>
    </xf>
    <xf numFmtId="0" fontId="20" fillId="12" borderId="4" xfId="0" applyFont="1" applyFill="1" applyBorder="1" applyAlignment="1">
      <alignment horizontal="left" wrapText="1"/>
    </xf>
    <xf numFmtId="43" fontId="20" fillId="12" borderId="4" xfId="0" applyNumberFormat="1" applyFont="1" applyFill="1" applyBorder="1" applyAlignment="1">
      <alignment horizontal="left" wrapText="1"/>
    </xf>
    <xf numFmtId="0" fontId="0" fillId="13" borderId="4" xfId="0" applyFill="1" applyBorder="1"/>
    <xf numFmtId="169" fontId="0" fillId="0" borderId="0" xfId="0" applyNumberFormat="1"/>
    <xf numFmtId="43" fontId="0" fillId="0" borderId="4" xfId="12" applyFont="1" applyBorder="1"/>
    <xf numFmtId="43" fontId="0" fillId="13" borderId="4" xfId="12" applyFont="1" applyFill="1" applyBorder="1"/>
    <xf numFmtId="43" fontId="0" fillId="0" borderId="0" xfId="12" applyFont="1" applyBorder="1"/>
    <xf numFmtId="165" fontId="14" fillId="0" borderId="4" xfId="12" applyNumberFormat="1" applyFont="1" applyFill="1" applyBorder="1" applyAlignment="1">
      <alignment vertical="center" wrapText="1"/>
    </xf>
    <xf numFmtId="166" fontId="14" fillId="0" borderId="4" xfId="11" applyNumberFormat="1" applyFont="1" applyFill="1" applyBorder="1" applyAlignment="1">
      <alignment vertical="center" wrapText="1"/>
    </xf>
    <xf numFmtId="165" fontId="11" fillId="4" borderId="4" xfId="12" applyNumberFormat="1" applyFont="1" applyFill="1" applyBorder="1" applyAlignment="1">
      <alignment horizontal="center" vertical="center" wrapText="1"/>
    </xf>
    <xf numFmtId="165" fontId="11" fillId="5" borderId="4" xfId="12" applyNumberFormat="1" applyFont="1" applyFill="1" applyBorder="1" applyAlignment="1">
      <alignment vertical="center" wrapText="1"/>
    </xf>
    <xf numFmtId="1" fontId="11" fillId="4" borderId="4" xfId="12" applyNumberFormat="1" applyFont="1" applyFill="1" applyBorder="1" applyAlignment="1">
      <alignment vertical="center" wrapText="1"/>
    </xf>
    <xf numFmtId="165" fontId="11" fillId="4" borderId="4" xfId="12" applyNumberFormat="1" applyFont="1" applyFill="1" applyBorder="1" applyAlignment="1">
      <alignment vertical="center" wrapText="1"/>
    </xf>
    <xf numFmtId="165" fontId="0" fillId="0" borderId="0" xfId="12" applyNumberFormat="1" applyFont="1"/>
    <xf numFmtId="3" fontId="2" fillId="14" borderId="0" xfId="0" applyNumberFormat="1" applyFont="1" applyFill="1"/>
    <xf numFmtId="170" fontId="2" fillId="0" borderId="0" xfId="6" applyNumberFormat="1" applyFont="1"/>
    <xf numFmtId="170" fontId="2" fillId="8" borderId="0" xfId="6" applyNumberFormat="1" applyFont="1" applyFill="1"/>
    <xf numFmtId="171" fontId="11" fillId="0" borderId="4" xfId="12" applyNumberFormat="1" applyFont="1" applyFill="1" applyBorder="1" applyAlignment="1">
      <alignment vertical="center" wrapText="1"/>
    </xf>
    <xf numFmtId="164" fontId="11" fillId="0" borderId="4" xfId="6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172" fontId="21" fillId="0" borderId="0" xfId="0" applyNumberFormat="1" applyFont="1" applyAlignment="1">
      <alignment horizontal="center"/>
    </xf>
    <xf numFmtId="165" fontId="5" fillId="15" borderId="4" xfId="6" applyNumberFormat="1" applyFont="1" applyFill="1" applyBorder="1"/>
    <xf numFmtId="0" fontId="20" fillId="9" borderId="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43" fontId="0" fillId="0" borderId="4" xfId="0" applyNumberFormat="1" applyBorder="1"/>
    <xf numFmtId="0" fontId="9" fillId="0" borderId="4" xfId="0" applyFont="1" applyBorder="1" applyAlignment="1">
      <alignment wrapText="1"/>
    </xf>
    <xf numFmtId="165" fontId="9" fillId="0" borderId="4" xfId="6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2" fillId="6" borderId="10" xfId="8" applyFont="1" applyFill="1" applyBorder="1"/>
    <xf numFmtId="3" fontId="2" fillId="6" borderId="11" xfId="8" applyNumberFormat="1" applyFont="1" applyFill="1" applyBorder="1"/>
    <xf numFmtId="0" fontId="2" fillId="6" borderId="4" xfId="8" quotePrefix="1" applyFont="1" applyFill="1" applyBorder="1" applyAlignment="1">
      <alignment horizontal="center" vertical="center" wrapText="1"/>
    </xf>
    <xf numFmtId="3" fontId="3" fillId="0" borderId="4" xfId="0" applyNumberFormat="1" applyFont="1" applyBorder="1"/>
    <xf numFmtId="3" fontId="3" fillId="15" borderId="0" xfId="8" applyNumberFormat="1" applyFont="1" applyFill="1" applyAlignment="1">
      <alignment horizontal="left" vertical="center" wrapText="1"/>
    </xf>
    <xf numFmtId="9" fontId="3" fillId="15" borderId="0" xfId="0" applyNumberFormat="1" applyFont="1" applyFill="1" applyAlignment="1">
      <alignment horizontal="left"/>
    </xf>
    <xf numFmtId="3" fontId="2" fillId="15" borderId="0" xfId="8" applyNumberFormat="1" applyFont="1" applyFill="1" applyAlignment="1">
      <alignment horizontal="left"/>
    </xf>
    <xf numFmtId="0" fontId="0" fillId="15" borderId="0" xfId="0" applyFill="1"/>
    <xf numFmtId="0" fontId="3" fillId="15" borderId="0" xfId="0" applyFont="1" applyFill="1"/>
    <xf numFmtId="9" fontId="4" fillId="15" borderId="0" xfId="0" applyNumberFormat="1" applyFont="1" applyFill="1" applyAlignment="1">
      <alignment horizontal="left"/>
    </xf>
    <xf numFmtId="0" fontId="8" fillId="6" borderId="2" xfId="8" applyFont="1" applyFill="1" applyBorder="1" applyAlignment="1">
      <alignment horizontal="left" vertical="center"/>
    </xf>
    <xf numFmtId="0" fontId="3" fillId="0" borderId="2" xfId="8" applyFont="1" applyBorder="1"/>
    <xf numFmtId="0" fontId="3" fillId="0" borderId="2" xfId="8" applyFont="1" applyBorder="1" applyAlignment="1">
      <alignment horizontal="left"/>
    </xf>
    <xf numFmtId="0" fontId="8" fillId="6" borderId="4" xfId="0" quotePrefix="1" applyFont="1" applyFill="1" applyBorder="1" applyAlignment="1">
      <alignment vertical="center" wrapText="1"/>
    </xf>
    <xf numFmtId="0" fontId="3" fillId="0" borderId="4" xfId="0" applyFont="1" applyBorder="1"/>
    <xf numFmtId="165" fontId="9" fillId="0" borderId="4" xfId="6" applyNumberFormat="1" applyFont="1" applyBorder="1" applyAlignment="1">
      <alignment wrapText="1"/>
    </xf>
    <xf numFmtId="165" fontId="5" fillId="3" borderId="4" xfId="6" applyNumberFormat="1" applyFont="1" applyFill="1" applyBorder="1" applyAlignment="1">
      <alignment wrapText="1"/>
    </xf>
    <xf numFmtId="9" fontId="5" fillId="0" borderId="4" xfId="11" applyFont="1" applyBorder="1"/>
    <xf numFmtId="165" fontId="9" fillId="0" borderId="4" xfId="6" applyNumberFormat="1" applyFont="1" applyFill="1" applyBorder="1" applyAlignment="1">
      <alignment wrapText="1"/>
    </xf>
    <xf numFmtId="9" fontId="9" fillId="0" borderId="4" xfId="11" applyFont="1" applyBorder="1"/>
    <xf numFmtId="0" fontId="9" fillId="0" borderId="4" xfId="0" applyFont="1" applyBorder="1"/>
    <xf numFmtId="165" fontId="9" fillId="3" borderId="4" xfId="6" applyNumberFormat="1" applyFont="1" applyFill="1" applyBorder="1" applyAlignment="1">
      <alignment wrapText="1"/>
    </xf>
    <xf numFmtId="0" fontId="21" fillId="0" borderId="4" xfId="0" applyFont="1" applyBorder="1"/>
    <xf numFmtId="165" fontId="5" fillId="15" borderId="4" xfId="6" applyNumberFormat="1" applyFont="1" applyFill="1" applyBorder="1" applyAlignment="1">
      <alignment wrapText="1"/>
    </xf>
    <xf numFmtId="165" fontId="9" fillId="0" borderId="4" xfId="6" applyNumberFormat="1" applyFont="1" applyFill="1" applyBorder="1"/>
    <xf numFmtId="164" fontId="9" fillId="0" borderId="4" xfId="6" applyFont="1" applyBorder="1"/>
    <xf numFmtId="0" fontId="8" fillId="0" borderId="4" xfId="0" applyFont="1" applyBorder="1"/>
    <xf numFmtId="0" fontId="7" fillId="0" borderId="4" xfId="0" applyFont="1" applyBorder="1"/>
    <xf numFmtId="164" fontId="7" fillId="0" borderId="4" xfId="6" applyFont="1" applyBorder="1"/>
    <xf numFmtId="165" fontId="8" fillId="0" borderId="4" xfId="6" applyNumberFormat="1" applyFont="1" applyFill="1" applyBorder="1"/>
    <xf numFmtId="165" fontId="7" fillId="0" borderId="4" xfId="6" applyNumberFormat="1" applyFont="1" applyBorder="1"/>
    <xf numFmtId="165" fontId="8" fillId="0" borderId="4" xfId="6" applyNumberFormat="1" applyFont="1" applyBorder="1"/>
    <xf numFmtId="165" fontId="7" fillId="0" borderId="4" xfId="6" applyNumberFormat="1" applyFont="1" applyFill="1" applyBorder="1"/>
    <xf numFmtId="0" fontId="7" fillId="15" borderId="4" xfId="0" applyFont="1" applyFill="1" applyBorder="1"/>
    <xf numFmtId="164" fontId="7" fillId="15" borderId="4" xfId="6" applyFont="1" applyFill="1" applyBorder="1"/>
    <xf numFmtId="165" fontId="7" fillId="15" borderId="4" xfId="6" applyNumberFormat="1" applyFont="1" applyFill="1" applyBorder="1"/>
    <xf numFmtId="0" fontId="8" fillId="15" borderId="4" xfId="0" applyFont="1" applyFill="1" applyBorder="1"/>
    <xf numFmtId="165" fontId="8" fillId="15" borderId="4" xfId="6" applyNumberFormat="1" applyFont="1" applyFill="1" applyBorder="1"/>
    <xf numFmtId="0" fontId="18" fillId="0" borderId="4" xfId="6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3" fillId="5" borderId="2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</cellXfs>
  <cellStyles count="13">
    <cellStyle name="1000-sep (2 dec) 2" xfId="1" xr:uid="{00000000-0005-0000-0000-000000000000}"/>
    <cellStyle name="1000-sep (2 dec) 3" xfId="2" xr:uid="{00000000-0005-0000-0000-000001000000}"/>
    <cellStyle name="1000-sep (2 dec) 4" xfId="3" xr:uid="{00000000-0005-0000-0000-000002000000}"/>
    <cellStyle name="Bemærk! 2" xfId="4" xr:uid="{00000000-0005-0000-0000-000003000000}"/>
    <cellStyle name="Bemærk! 3" xfId="5" xr:uid="{00000000-0005-0000-0000-000004000000}"/>
    <cellStyle name="Komma" xfId="6" builtinId="3"/>
    <cellStyle name="Komma 2" xfId="12" xr:uid="{F6594E9F-42E8-408D-AB33-BD8B5ABA75D2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Procent" xfId="1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G23"/>
  <sheetViews>
    <sheetView showGridLines="0" tabSelected="1" zoomScale="120" zoomScaleNormal="120" workbookViewId="0">
      <selection activeCell="I7" sqref="I7"/>
    </sheetView>
  </sheetViews>
  <sheetFormatPr defaultColWidth="9.28515625" defaultRowHeight="14.45"/>
  <cols>
    <col min="1" max="1" width="1.7109375" customWidth="1"/>
    <col min="2" max="2" width="6.140625" style="20" bestFit="1" customWidth="1"/>
    <col min="3" max="3" width="46" bestFit="1" customWidth="1"/>
    <col min="4" max="5" width="12.42578125" bestFit="1" customWidth="1"/>
    <col min="6" max="7" width="12.42578125" style="2" bestFit="1" customWidth="1"/>
  </cols>
  <sheetData>
    <row r="1" spans="2:7">
      <c r="B1" s="18" t="s">
        <v>0</v>
      </c>
      <c r="C1" s="7"/>
      <c r="D1" s="7"/>
      <c r="E1" s="7"/>
    </row>
    <row r="2" spans="2:7">
      <c r="B2" s="140">
        <v>1</v>
      </c>
      <c r="C2" s="16" t="s">
        <v>1</v>
      </c>
      <c r="D2" s="15" t="s">
        <v>2</v>
      </c>
      <c r="E2" s="15" t="s">
        <v>3</v>
      </c>
      <c r="F2" s="15" t="s">
        <v>4</v>
      </c>
      <c r="G2" s="15" t="s">
        <v>5</v>
      </c>
    </row>
    <row r="3" spans="2:7">
      <c r="B3" s="140"/>
      <c r="C3" s="17" t="s">
        <v>6</v>
      </c>
      <c r="D3" s="14">
        <f>'CISU Note 1'!B7</f>
        <v>23927000.18</v>
      </c>
      <c r="E3" s="14">
        <f>'CISU Note 1'!E7</f>
        <v>21331471.260000002</v>
      </c>
      <c r="F3" s="14">
        <v>19769918</v>
      </c>
      <c r="G3" s="14">
        <v>18113287.930000003</v>
      </c>
    </row>
    <row r="4" spans="2:7">
      <c r="B4" s="140"/>
      <c r="C4" s="17" t="s">
        <v>7</v>
      </c>
      <c r="D4" s="14">
        <f>'CISU Note 1'!B27</f>
        <v>23899545.899999999</v>
      </c>
      <c r="E4" s="14">
        <f>'CISU Note 1'!E27</f>
        <v>21155219.780000001</v>
      </c>
      <c r="F4" s="14">
        <v>19738347</v>
      </c>
      <c r="G4" s="14">
        <v>18001716.600000001</v>
      </c>
    </row>
    <row r="5" spans="2:7">
      <c r="B5" s="140"/>
      <c r="C5" s="16" t="s">
        <v>8</v>
      </c>
      <c r="D5" s="13">
        <f>D3-D4</f>
        <v>27454.280000001192</v>
      </c>
      <c r="E5" s="13">
        <f>E3-E4</f>
        <v>176251.48000000045</v>
      </c>
      <c r="F5" s="13">
        <f>F3-F4</f>
        <v>31571</v>
      </c>
      <c r="G5" s="13">
        <f>G3-G4</f>
        <v>111571.33000000194</v>
      </c>
    </row>
    <row r="6" spans="2:7">
      <c r="B6" s="10"/>
      <c r="D6" s="2"/>
      <c r="E6" s="2"/>
    </row>
    <row r="7" spans="2:7">
      <c r="B7" s="10"/>
      <c r="C7" s="16" t="s">
        <v>9</v>
      </c>
      <c r="D7" s="15" t="s">
        <v>2</v>
      </c>
      <c r="E7" s="15" t="s">
        <v>3</v>
      </c>
      <c r="F7" s="15" t="s">
        <v>4</v>
      </c>
      <c r="G7" s="15" t="s">
        <v>5</v>
      </c>
    </row>
    <row r="8" spans="2:7">
      <c r="B8" s="19">
        <v>2</v>
      </c>
      <c r="C8" s="17" t="s">
        <v>10</v>
      </c>
      <c r="D8" s="12">
        <f>'CSP Note 2(A)'!G18</f>
        <v>253766031.00999999</v>
      </c>
      <c r="E8" s="12">
        <v>224166648.56999996</v>
      </c>
      <c r="F8" s="12">
        <v>190821350.12000003</v>
      </c>
      <c r="G8" s="12">
        <v>244139910.38000003</v>
      </c>
    </row>
    <row r="9" spans="2:7">
      <c r="B9" s="20">
        <v>3</v>
      </c>
      <c r="C9" s="17" t="s">
        <v>11</v>
      </c>
      <c r="D9" s="60">
        <f>'DERF 2 Note 3'!E6</f>
        <v>25087280.640000001</v>
      </c>
      <c r="E9" s="60">
        <v>32160125.559999999</v>
      </c>
      <c r="F9" s="12">
        <v>30095923.440000001</v>
      </c>
      <c r="G9" s="12">
        <v>12283286.720000001</v>
      </c>
    </row>
    <row r="10" spans="2:7">
      <c r="C10" s="17" t="s">
        <v>12</v>
      </c>
      <c r="D10" s="94"/>
      <c r="E10" s="94"/>
      <c r="F10" s="12">
        <v>40778.410000000003</v>
      </c>
      <c r="G10" s="12">
        <v>905622</v>
      </c>
    </row>
    <row r="11" spans="2:7">
      <c r="B11" s="19">
        <v>4</v>
      </c>
      <c r="C11" s="17" t="s">
        <v>13</v>
      </c>
      <c r="D11" s="60">
        <f>'OPEN Note 4'!E6</f>
        <v>25063048.710000001</v>
      </c>
      <c r="E11" s="60">
        <v>25879911.579999998</v>
      </c>
      <c r="F11" s="12">
        <v>24056882.68</v>
      </c>
      <c r="G11" s="94"/>
    </row>
    <row r="12" spans="2:7">
      <c r="B12" s="19"/>
      <c r="C12" s="17" t="s">
        <v>14</v>
      </c>
      <c r="D12" s="94"/>
      <c r="E12" s="94"/>
      <c r="F12" s="94"/>
      <c r="G12" s="12">
        <v>499714</v>
      </c>
    </row>
    <row r="13" spans="2:7">
      <c r="B13" s="19">
        <v>5</v>
      </c>
      <c r="C13" s="17" t="s">
        <v>15</v>
      </c>
      <c r="D13" s="60">
        <f>'CONN Note 5'!C27*'CONN Note 5'!E21</f>
        <v>4247243.0980601124</v>
      </c>
      <c r="E13" s="94"/>
      <c r="F13" s="94"/>
      <c r="G13" s="94"/>
    </row>
    <row r="14" spans="2:7">
      <c r="B14" s="19"/>
      <c r="C14" s="16" t="s">
        <v>16</v>
      </c>
      <c r="D14" s="13">
        <f>SUM(D8:D13)</f>
        <v>308163603.45806009</v>
      </c>
      <c r="E14" s="13">
        <f>SUM(E8:E13)</f>
        <v>282206685.70999998</v>
      </c>
      <c r="F14" s="13">
        <f>SUM(F8:F13)</f>
        <v>245014934.65000004</v>
      </c>
      <c r="G14" s="13">
        <f>SUM(G8:G13)</f>
        <v>257828533.10000002</v>
      </c>
    </row>
    <row r="15" spans="2:7">
      <c r="B15" s="19"/>
      <c r="F15"/>
      <c r="G15"/>
    </row>
    <row r="16" spans="2:7">
      <c r="B16" s="19"/>
      <c r="F16"/>
      <c r="G16"/>
    </row>
    <row r="17" spans="2:7">
      <c r="B17" s="19"/>
      <c r="F17"/>
      <c r="G17"/>
    </row>
    <row r="18" spans="2:7">
      <c r="B18" s="19"/>
      <c r="F18"/>
      <c r="G18"/>
    </row>
    <row r="19" spans="2:7">
      <c r="B19" s="19"/>
      <c r="F19"/>
      <c r="G19"/>
    </row>
    <row r="20" spans="2:7">
      <c r="B20" s="19"/>
      <c r="F20"/>
      <c r="G20"/>
    </row>
    <row r="21" spans="2:7">
      <c r="B21" s="19"/>
      <c r="F21"/>
      <c r="G21" s="3"/>
    </row>
    <row r="22" spans="2:7">
      <c r="F22" s="1"/>
      <c r="G22" s="1"/>
    </row>
    <row r="23" spans="2:7">
      <c r="C23" t="s">
        <v>17</v>
      </c>
    </row>
  </sheetData>
  <mergeCells count="1">
    <mergeCell ref="B2:B5"/>
  </mergeCells>
  <printOptions horizontalCentered="1"/>
  <pageMargins left="0.31496062992125984" right="0.35433070866141736" top="0.74803149606299213" bottom="0.74803149606299213" header="0.31496062992125984" footer="0.31496062992125984"/>
  <pageSetup paperSize="9" scale="96" orientation="portrait" verticalDpi="1200" r:id="rId1"/>
  <headerFooter>
    <oddHeader>&amp;C&amp;F&amp;R&amp;A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I37"/>
  <sheetViews>
    <sheetView showGridLines="0" zoomScale="110" zoomScaleNormal="110" workbookViewId="0">
      <selection activeCell="I12" sqref="I12"/>
    </sheetView>
  </sheetViews>
  <sheetFormatPr defaultColWidth="8.7109375" defaultRowHeight="14.45"/>
  <cols>
    <col min="1" max="1" width="37.85546875" style="4" customWidth="1"/>
    <col min="2" max="3" width="11.85546875" style="61" bestFit="1" customWidth="1"/>
    <col min="4" max="4" width="1" style="4" customWidth="1"/>
    <col min="5" max="5" width="38" style="4" customWidth="1"/>
    <col min="6" max="7" width="11.85546875" style="61" bestFit="1" customWidth="1"/>
    <col min="8" max="8" width="8.7109375" style="4"/>
    <col min="9" max="9" width="9.7109375" style="4" bestFit="1" customWidth="1"/>
    <col min="10" max="16384" width="8.7109375" style="4"/>
  </cols>
  <sheetData>
    <row r="1" spans="1:7" s="5" customFormat="1" ht="15.6">
      <c r="A1" s="127" t="s">
        <v>18</v>
      </c>
      <c r="B1" s="139">
        <v>2024</v>
      </c>
      <c r="C1" s="139">
        <v>2023</v>
      </c>
      <c r="E1" s="127" t="s">
        <v>19</v>
      </c>
      <c r="F1" s="139">
        <v>2024</v>
      </c>
      <c r="G1" s="139">
        <v>2023</v>
      </c>
    </row>
    <row r="2" spans="1:7">
      <c r="A2" s="127" t="s">
        <v>20</v>
      </c>
      <c r="B2" s="130"/>
      <c r="C2" s="130"/>
      <c r="E2" s="127" t="s">
        <v>21</v>
      </c>
      <c r="F2" s="129"/>
      <c r="G2" s="129"/>
    </row>
    <row r="3" spans="1:7">
      <c r="A3" s="128" t="s">
        <v>22</v>
      </c>
      <c r="B3" s="131">
        <v>1948506.96</v>
      </c>
      <c r="C3" s="131">
        <v>2067970</v>
      </c>
      <c r="E3" s="128" t="s">
        <v>23</v>
      </c>
      <c r="F3" s="131">
        <f>G5</f>
        <v>2700957.4800000004</v>
      </c>
      <c r="G3" s="133">
        <v>2524706</v>
      </c>
    </row>
    <row r="4" spans="1:7">
      <c r="A4" s="128" t="s">
        <v>24</v>
      </c>
      <c r="B4" s="129"/>
      <c r="C4" s="131"/>
      <c r="E4" s="128" t="s">
        <v>8</v>
      </c>
      <c r="F4" s="131">
        <f>'CISU Note 1'!B29</f>
        <v>27454.280000001192</v>
      </c>
      <c r="G4" s="133">
        <f>'CISU Note 1'!E29</f>
        <v>176251.48000000045</v>
      </c>
    </row>
    <row r="5" spans="1:7">
      <c r="A5" s="127" t="s">
        <v>25</v>
      </c>
      <c r="B5" s="130">
        <f>SUM(B3:B4)</f>
        <v>1948506.96</v>
      </c>
      <c r="C5" s="130">
        <f>SUM(C3:C4)</f>
        <v>2067970</v>
      </c>
      <c r="E5" s="127" t="s">
        <v>26</v>
      </c>
      <c r="F5" s="132">
        <f>SUM(F3:F4)+1</f>
        <v>2728412.7600000016</v>
      </c>
      <c r="G5" s="132">
        <f>SUM(G3:G4)</f>
        <v>2700957.4800000004</v>
      </c>
    </row>
    <row r="6" spans="1:7">
      <c r="A6" s="134"/>
      <c r="B6" s="135"/>
      <c r="C6" s="136"/>
      <c r="E6" s="134"/>
      <c r="F6" s="135"/>
      <c r="G6" s="136"/>
    </row>
    <row r="7" spans="1:7">
      <c r="A7" s="127" t="s">
        <v>27</v>
      </c>
      <c r="B7" s="129"/>
      <c r="C7" s="131"/>
      <c r="E7" s="127" t="s">
        <v>28</v>
      </c>
      <c r="F7" s="129"/>
      <c r="G7" s="131"/>
    </row>
    <row r="8" spans="1:7">
      <c r="A8" s="127" t="s">
        <v>29</v>
      </c>
      <c r="B8" s="129"/>
      <c r="C8" s="131"/>
      <c r="E8" s="128" t="s">
        <v>30</v>
      </c>
      <c r="F8" s="131">
        <f>46143259+3976305</f>
        <v>50119564</v>
      </c>
      <c r="G8" s="133">
        <v>90814902</v>
      </c>
    </row>
    <row r="9" spans="1:7">
      <c r="A9" s="128" t="s">
        <v>31</v>
      </c>
      <c r="B9" s="131">
        <v>700</v>
      </c>
      <c r="C9" s="131"/>
      <c r="E9" s="128" t="s">
        <v>32</v>
      </c>
      <c r="F9" s="131">
        <v>14744139.900401194</v>
      </c>
      <c r="G9" s="133">
        <v>18129764</v>
      </c>
    </row>
    <row r="10" spans="1:7">
      <c r="A10" s="128" t="s">
        <v>33</v>
      </c>
      <c r="B10" s="131">
        <v>7164676.7420376716</v>
      </c>
      <c r="C10" s="131">
        <v>88767268</v>
      </c>
      <c r="E10" s="127" t="s">
        <v>34</v>
      </c>
      <c r="F10" s="132">
        <f>SUM(F8:F9)</f>
        <v>64863703.90040119</v>
      </c>
      <c r="G10" s="132">
        <f>SUM(G8:G9)</f>
        <v>108944666</v>
      </c>
    </row>
    <row r="11" spans="1:7">
      <c r="A11" s="128" t="s">
        <v>35</v>
      </c>
      <c r="B11" s="131">
        <v>286508.03000000003</v>
      </c>
      <c r="C11" s="131">
        <v>276973</v>
      </c>
      <c r="E11" s="134"/>
      <c r="F11" s="135"/>
      <c r="G11" s="136"/>
    </row>
    <row r="12" spans="1:7">
      <c r="A12" s="128" t="s">
        <v>36</v>
      </c>
      <c r="B12" s="131">
        <v>262171.49</v>
      </c>
      <c r="C12" s="131">
        <v>1279136</v>
      </c>
      <c r="E12" s="127" t="s">
        <v>37</v>
      </c>
      <c r="F12" s="129"/>
      <c r="G12" s="131"/>
    </row>
    <row r="13" spans="1:7">
      <c r="A13" s="127" t="s">
        <v>38</v>
      </c>
      <c r="B13" s="132">
        <f>SUM(B9:B12)</f>
        <v>7714056.2620376721</v>
      </c>
      <c r="C13" s="132">
        <f>SUM(C9:C12)</f>
        <v>90323377</v>
      </c>
      <c r="E13" s="127" t="s">
        <v>39</v>
      </c>
      <c r="F13" s="129"/>
      <c r="G13" s="131"/>
    </row>
    <row r="14" spans="1:7">
      <c r="A14" s="134"/>
      <c r="B14" s="135"/>
      <c r="C14" s="136"/>
      <c r="E14" s="128" t="s">
        <v>40</v>
      </c>
      <c r="F14" s="131">
        <v>164941083.41999999</v>
      </c>
      <c r="G14" s="133">
        <v>151798118</v>
      </c>
    </row>
    <row r="15" spans="1:7">
      <c r="A15" s="127" t="s">
        <v>41</v>
      </c>
      <c r="B15" s="129"/>
      <c r="C15" s="131"/>
      <c r="E15" s="128" t="s">
        <v>42</v>
      </c>
      <c r="F15" s="131">
        <v>1976760</v>
      </c>
      <c r="G15" s="133">
        <v>2832598</v>
      </c>
    </row>
    <row r="16" spans="1:7">
      <c r="A16" s="128" t="s">
        <v>43</v>
      </c>
      <c r="B16" s="131">
        <v>222141995.38</v>
      </c>
      <c r="C16" s="131">
        <v>168016891</v>
      </c>
      <c r="E16" s="128" t="s">
        <v>44</v>
      </c>
      <c r="F16" s="131">
        <v>15384623</v>
      </c>
      <c r="G16" s="133">
        <v>15333060</v>
      </c>
    </row>
    <row r="17" spans="1:9">
      <c r="A17" s="128" t="s">
        <v>45</v>
      </c>
      <c r="B17" s="131">
        <v>0</v>
      </c>
      <c r="C17" s="131">
        <v>1102338</v>
      </c>
      <c r="E17" s="127" t="s">
        <v>46</v>
      </c>
      <c r="F17" s="132">
        <f>SUM(F14:F16)</f>
        <v>182302466.41999999</v>
      </c>
      <c r="G17" s="132">
        <f>SUM(G14:G16)</f>
        <v>169963776</v>
      </c>
    </row>
    <row r="18" spans="1:9">
      <c r="A18" s="128" t="s">
        <v>47</v>
      </c>
      <c r="B18" s="131">
        <v>2113196.06</v>
      </c>
      <c r="C18" s="131">
        <v>8067157</v>
      </c>
      <c r="E18" s="134"/>
      <c r="F18" s="135"/>
      <c r="G18" s="136"/>
    </row>
    <row r="19" spans="1:9">
      <c r="A19" s="128" t="s">
        <v>13</v>
      </c>
      <c r="B19" s="131">
        <v>13476485.109999999</v>
      </c>
      <c r="C19" s="131">
        <v>15883804</v>
      </c>
      <c r="E19" s="127" t="s">
        <v>48</v>
      </c>
      <c r="F19" s="129"/>
      <c r="G19" s="129"/>
    </row>
    <row r="20" spans="1:9">
      <c r="A20" s="128" t="s">
        <v>15</v>
      </c>
      <c r="B20" s="131">
        <v>3636804.6229061657</v>
      </c>
      <c r="C20" s="131"/>
      <c r="E20" s="128" t="s">
        <v>49</v>
      </c>
      <c r="F20" s="131">
        <v>2007797.78</v>
      </c>
      <c r="G20" s="133">
        <v>1864416</v>
      </c>
    </row>
    <row r="21" spans="1:9">
      <c r="A21" s="128" t="s">
        <v>50</v>
      </c>
      <c r="B21" s="131">
        <v>2088587.15</v>
      </c>
      <c r="C21" s="131">
        <v>3843218</v>
      </c>
      <c r="E21" s="134"/>
      <c r="F21" s="135"/>
      <c r="G21" s="136"/>
    </row>
    <row r="22" spans="1:9">
      <c r="A22" s="127" t="s">
        <v>51</v>
      </c>
      <c r="B22" s="132">
        <f>SUM(B16:B21)</f>
        <v>243457068.3229062</v>
      </c>
      <c r="C22" s="132">
        <f>SUM(C16:C21)</f>
        <v>196913408</v>
      </c>
      <c r="E22" s="128" t="s">
        <v>52</v>
      </c>
      <c r="F22" s="131">
        <f>1217250.65+1.44</f>
        <v>1217252.0899999999</v>
      </c>
      <c r="G22" s="133">
        <v>5830940</v>
      </c>
    </row>
    <row r="23" spans="1:9">
      <c r="A23" s="137"/>
      <c r="B23" s="138"/>
      <c r="C23" s="138"/>
      <c r="E23" s="134"/>
      <c r="F23" s="136"/>
      <c r="G23" s="136"/>
      <c r="I23" s="8"/>
    </row>
    <row r="24" spans="1:9">
      <c r="A24" s="127" t="s">
        <v>53</v>
      </c>
      <c r="B24" s="132">
        <f>B13+B22</f>
        <v>251171124.58494386</v>
      </c>
      <c r="C24" s="132">
        <f>C13+C22</f>
        <v>287236785</v>
      </c>
      <c r="E24" s="127" t="s">
        <v>54</v>
      </c>
      <c r="F24" s="130">
        <f>F17+F20+F22</f>
        <v>185527516.28999999</v>
      </c>
      <c r="G24" s="130">
        <f>G17+G20+G22</f>
        <v>177659132</v>
      </c>
    </row>
    <row r="25" spans="1:9">
      <c r="A25" s="134"/>
      <c r="B25" s="135"/>
      <c r="C25" s="136"/>
      <c r="E25" s="134"/>
      <c r="F25" s="135"/>
      <c r="G25" s="136"/>
    </row>
    <row r="26" spans="1:9">
      <c r="A26" s="127" t="s">
        <v>18</v>
      </c>
      <c r="B26" s="132">
        <f>B5+B24</f>
        <v>253119631.54494387</v>
      </c>
      <c r="C26" s="132">
        <f>C5+C24</f>
        <v>289304755</v>
      </c>
      <c r="E26" s="127" t="s">
        <v>19</v>
      </c>
      <c r="F26" s="132">
        <f>F5+F10+F24-1</f>
        <v>253119631.95040119</v>
      </c>
      <c r="G26" s="132">
        <f>G5+G10+G24</f>
        <v>289304755.48000002</v>
      </c>
    </row>
    <row r="28" spans="1:9">
      <c r="A28" s="5"/>
    </row>
    <row r="29" spans="1:9">
      <c r="A29" s="5"/>
    </row>
    <row r="30" spans="1:9">
      <c r="A30" s="5"/>
    </row>
    <row r="37" spans="7:7">
      <c r="G37" s="62"/>
    </row>
  </sheetData>
  <printOptions horizontalCentered="1"/>
  <pageMargins left="0.23622047244094491" right="0.31496062992125984" top="0.74803149606299213" bottom="0.74803149606299213" header="0.31496062992125984" footer="0.31496062992125984"/>
  <pageSetup paperSize="9" orientation="landscape" r:id="rId1"/>
  <headerFooter>
    <oddHeader>&amp;C&amp;F&amp;R&amp;A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fitToPage="1"/>
  </sheetPr>
  <dimension ref="A1:J30"/>
  <sheetViews>
    <sheetView showGridLines="0" zoomScale="115" zoomScaleNormal="115" workbookViewId="0">
      <pane ySplit="1" topLeftCell="A2" activePane="bottomLeft" state="frozen"/>
      <selection pane="bottomLeft" activeCell="H6" sqref="H6"/>
    </sheetView>
  </sheetViews>
  <sheetFormatPr defaultColWidth="9.28515625" defaultRowHeight="14.45"/>
  <cols>
    <col min="1" max="1" width="47.7109375" customWidth="1"/>
    <col min="2" max="2" width="11.85546875" style="2" bestFit="1" customWidth="1"/>
    <col min="3" max="3" width="11.85546875" bestFit="1" customWidth="1"/>
    <col min="4" max="4" width="12.42578125" style="2" bestFit="1" customWidth="1"/>
    <col min="5" max="5" width="11.85546875" style="2" bestFit="1" customWidth="1"/>
    <col min="6" max="6" width="11.7109375" bestFit="1" customWidth="1"/>
    <col min="7" max="7" width="9.28515625" bestFit="1" customWidth="1"/>
    <col min="8" max="10" width="12" bestFit="1" customWidth="1"/>
  </cols>
  <sheetData>
    <row r="1" spans="1:10" ht="28.9">
      <c r="A1" s="100" t="s">
        <v>55</v>
      </c>
      <c r="B1" s="99" t="s">
        <v>56</v>
      </c>
      <c r="C1" s="99" t="s">
        <v>57</v>
      </c>
      <c r="D1" s="99" t="s">
        <v>58</v>
      </c>
      <c r="E1" s="99" t="s">
        <v>59</v>
      </c>
      <c r="F1" s="99" t="s">
        <v>60</v>
      </c>
    </row>
    <row r="2" spans="1:10">
      <c r="A2" s="98" t="s">
        <v>6</v>
      </c>
      <c r="B2" s="116"/>
      <c r="C2" s="116"/>
      <c r="D2" s="116"/>
      <c r="E2" s="116"/>
      <c r="F2" s="11"/>
    </row>
    <row r="3" spans="1:10">
      <c r="A3" s="11" t="s">
        <v>61</v>
      </c>
      <c r="B3" s="117">
        <v>509000</v>
      </c>
      <c r="C3" s="117">
        <v>490000</v>
      </c>
      <c r="D3" s="117">
        <v>490000</v>
      </c>
      <c r="E3" s="117">
        <v>498300</v>
      </c>
      <c r="F3" s="118">
        <f>B3/C3</f>
        <v>1.0387755102040817</v>
      </c>
    </row>
    <row r="4" spans="1:10">
      <c r="A4" s="11" t="s">
        <v>62</v>
      </c>
      <c r="B4" s="117">
        <v>224701</v>
      </c>
      <c r="C4" s="117">
        <v>55000</v>
      </c>
      <c r="D4" s="117">
        <v>55000</v>
      </c>
      <c r="E4" s="117">
        <v>58675.07</v>
      </c>
      <c r="F4" s="118">
        <f>B4/C4</f>
        <v>4.0854727272727276</v>
      </c>
    </row>
    <row r="5" spans="1:10">
      <c r="A5" s="11" t="s">
        <v>63</v>
      </c>
      <c r="B5" s="117">
        <v>23090479.18</v>
      </c>
      <c r="C5" s="117">
        <v>23318250</v>
      </c>
      <c r="D5" s="117">
        <v>21830200</v>
      </c>
      <c r="E5" s="117">
        <v>20679496.190000001</v>
      </c>
      <c r="F5" s="118">
        <f>B5/C5</f>
        <v>0.99023207916546052</v>
      </c>
      <c r="J5" s="3"/>
    </row>
    <row r="6" spans="1:10">
      <c r="A6" s="11" t="s">
        <v>64</v>
      </c>
      <c r="B6" s="117">
        <v>102820</v>
      </c>
      <c r="C6" s="117">
        <v>44750</v>
      </c>
      <c r="D6" s="117">
        <v>0</v>
      </c>
      <c r="E6" s="117">
        <v>95000</v>
      </c>
      <c r="F6" s="118">
        <f>B6/C6</f>
        <v>2.2976536312849163</v>
      </c>
    </row>
    <row r="7" spans="1:10">
      <c r="A7" s="98" t="s">
        <v>65</v>
      </c>
      <c r="B7" s="119">
        <f>SUM(B3:B6)</f>
        <v>23927000.18</v>
      </c>
      <c r="C7" s="119">
        <f>SUM(C3:C6)</f>
        <v>23908000</v>
      </c>
      <c r="D7" s="119">
        <f>SUM(D3:D6)</f>
        <v>22375200</v>
      </c>
      <c r="E7" s="119">
        <f>SUM(E3:E6)</f>
        <v>21331471.260000002</v>
      </c>
      <c r="F7" s="120">
        <f>B7/C7</f>
        <v>1.0007947205956165</v>
      </c>
      <c r="G7" s="3"/>
    </row>
    <row r="8" spans="1:10">
      <c r="B8"/>
      <c r="D8" s="6"/>
      <c r="E8"/>
      <c r="F8" s="9"/>
    </row>
    <row r="9" spans="1:10">
      <c r="A9" s="98" t="s">
        <v>7</v>
      </c>
      <c r="B9" s="119"/>
      <c r="C9" s="116"/>
      <c r="D9" s="116"/>
      <c r="E9" s="119"/>
      <c r="F9" s="11"/>
    </row>
    <row r="10" spans="1:10">
      <c r="A10" s="121" t="s">
        <v>66</v>
      </c>
      <c r="B10" s="122">
        <v>19807778.43</v>
      </c>
      <c r="C10" s="122">
        <v>19785000</v>
      </c>
      <c r="D10" s="122">
        <v>18837200</v>
      </c>
      <c r="E10" s="122">
        <v>17886221.070000004</v>
      </c>
      <c r="F10" s="120">
        <f>B10/C10</f>
        <v>1.0011512979529946</v>
      </c>
      <c r="G10" s="3"/>
    </row>
    <row r="11" spans="1:10">
      <c r="A11" s="121" t="s">
        <v>67</v>
      </c>
      <c r="B11" s="119"/>
      <c r="C11" s="119"/>
      <c r="D11" s="119"/>
      <c r="E11" s="119"/>
      <c r="F11" s="11"/>
    </row>
    <row r="12" spans="1:10">
      <c r="A12" s="11" t="s">
        <v>68</v>
      </c>
      <c r="B12" s="117">
        <v>100000</v>
      </c>
      <c r="C12" s="117">
        <v>100000</v>
      </c>
      <c r="D12" s="117">
        <v>100000</v>
      </c>
      <c r="E12" s="117">
        <v>100000</v>
      </c>
      <c r="F12" s="118">
        <f t="shared" ref="F12:F18" si="0">B12/C12</f>
        <v>1</v>
      </c>
    </row>
    <row r="13" spans="1:10">
      <c r="A13" s="11" t="s">
        <v>69</v>
      </c>
      <c r="B13" s="117">
        <v>220000</v>
      </c>
      <c r="C13" s="117">
        <v>220000</v>
      </c>
      <c r="D13" s="117">
        <v>220000</v>
      </c>
      <c r="E13" s="117">
        <v>220000</v>
      </c>
      <c r="F13" s="118">
        <f t="shared" si="0"/>
        <v>1</v>
      </c>
    </row>
    <row r="14" spans="1:10">
      <c r="A14" s="11" t="s">
        <v>70</v>
      </c>
      <c r="B14" s="117">
        <f>80844.13+8524</f>
        <v>89368.13</v>
      </c>
      <c r="C14" s="117">
        <v>95000</v>
      </c>
      <c r="D14" s="117">
        <v>85000</v>
      </c>
      <c r="E14" s="117">
        <f>64106.62+7476</f>
        <v>71582.62</v>
      </c>
      <c r="F14" s="118">
        <f t="shared" si="0"/>
        <v>0.94071715789473687</v>
      </c>
    </row>
    <row r="15" spans="1:10">
      <c r="A15" s="123" t="s">
        <v>71</v>
      </c>
      <c r="B15" s="117">
        <v>139999.54999999999</v>
      </c>
      <c r="C15" s="117">
        <v>140000</v>
      </c>
      <c r="D15" s="117">
        <v>0</v>
      </c>
      <c r="E15" s="117">
        <v>0</v>
      </c>
      <c r="F15" s="118">
        <f t="shared" si="0"/>
        <v>0.99999678571428563</v>
      </c>
    </row>
    <row r="16" spans="1:10">
      <c r="A16" s="123" t="s">
        <v>72</v>
      </c>
      <c r="B16" s="124"/>
      <c r="C16" s="124"/>
      <c r="D16" s="124"/>
      <c r="E16" s="124"/>
      <c r="F16" s="124"/>
    </row>
    <row r="17" spans="1:9">
      <c r="A17" s="11" t="s">
        <v>73</v>
      </c>
      <c r="B17" s="117">
        <v>132614.75</v>
      </c>
      <c r="C17" s="117">
        <v>125000</v>
      </c>
      <c r="D17" s="117">
        <v>110000</v>
      </c>
      <c r="E17" s="117">
        <v>95789.41</v>
      </c>
      <c r="F17" s="118">
        <f t="shared" si="0"/>
        <v>1.060918</v>
      </c>
    </row>
    <row r="18" spans="1:9">
      <c r="A18" s="11" t="s">
        <v>74</v>
      </c>
      <c r="B18" s="117">
        <v>43018</v>
      </c>
      <c r="C18" s="117">
        <v>45000</v>
      </c>
      <c r="D18" s="117">
        <v>45000</v>
      </c>
      <c r="E18" s="117">
        <v>25887.46</v>
      </c>
      <c r="F18" s="118">
        <f t="shared" si="0"/>
        <v>0.95595555555555556</v>
      </c>
    </row>
    <row r="19" spans="1:9">
      <c r="A19" s="121" t="s">
        <v>75</v>
      </c>
      <c r="B19" s="125">
        <f>SUM(B12:B18)</f>
        <v>725000.42999999993</v>
      </c>
      <c r="C19" s="125">
        <f t="shared" ref="C19:E19" si="1">SUM(C12:C18)</f>
        <v>725000</v>
      </c>
      <c r="D19" s="125">
        <f t="shared" si="1"/>
        <v>560000</v>
      </c>
      <c r="E19" s="125">
        <f t="shared" si="1"/>
        <v>513259.49000000005</v>
      </c>
      <c r="F19" s="120">
        <f>B19/C19</f>
        <v>1.0000005931034481</v>
      </c>
      <c r="G19" s="3"/>
    </row>
    <row r="20" spans="1:9">
      <c r="A20" s="121" t="s">
        <v>76</v>
      </c>
      <c r="B20" s="122">
        <v>3010474.2</v>
      </c>
      <c r="C20" s="122">
        <v>3033000</v>
      </c>
      <c r="D20" s="122">
        <v>2658000</v>
      </c>
      <c r="E20" s="122">
        <v>2446550</v>
      </c>
      <c r="F20" s="120">
        <f>B20/C20</f>
        <v>0.99257309594460941</v>
      </c>
      <c r="G20" s="3"/>
    </row>
    <row r="21" spans="1:9">
      <c r="A21" s="121" t="s">
        <v>77</v>
      </c>
      <c r="B21" s="122"/>
      <c r="C21" s="122"/>
      <c r="D21" s="122"/>
      <c r="E21" s="122"/>
      <c r="F21" s="118"/>
    </row>
    <row r="22" spans="1:9">
      <c r="A22" s="11" t="s">
        <v>78</v>
      </c>
      <c r="B22" s="117">
        <v>153181.79999999999</v>
      </c>
      <c r="C22" s="117">
        <v>145000</v>
      </c>
      <c r="D22" s="117">
        <v>100000</v>
      </c>
      <c r="E22" s="117">
        <v>102251.97</v>
      </c>
      <c r="F22" s="118">
        <f t="shared" ref="F22:F25" si="2">B22/C22</f>
        <v>1.0564262068965515</v>
      </c>
    </row>
    <row r="23" spans="1:9">
      <c r="A23" s="11" t="s">
        <v>79</v>
      </c>
      <c r="B23" s="117">
        <v>182741.04</v>
      </c>
      <c r="C23" s="117">
        <v>200000</v>
      </c>
      <c r="D23" s="117">
        <v>200000</v>
      </c>
      <c r="E23" s="117">
        <v>191937.25</v>
      </c>
      <c r="F23" s="118">
        <f t="shared" si="2"/>
        <v>0.9137052</v>
      </c>
    </row>
    <row r="24" spans="1:9">
      <c r="A24" s="11" t="s">
        <v>80</v>
      </c>
      <c r="B24" s="117">
        <v>370</v>
      </c>
      <c r="C24" s="117"/>
      <c r="D24" s="117"/>
      <c r="E24" s="117"/>
      <c r="F24" s="118"/>
    </row>
    <row r="25" spans="1:9">
      <c r="A25" s="11" t="s">
        <v>81</v>
      </c>
      <c r="B25" s="117">
        <v>20000</v>
      </c>
      <c r="C25" s="117">
        <v>20000</v>
      </c>
      <c r="D25" s="117">
        <v>20000</v>
      </c>
      <c r="E25" s="117">
        <v>15000</v>
      </c>
      <c r="F25" s="118">
        <f t="shared" si="2"/>
        <v>1</v>
      </c>
    </row>
    <row r="26" spans="1:9">
      <c r="A26" s="121" t="s">
        <v>82</v>
      </c>
      <c r="B26" s="122">
        <f>SUM(B22:B25)</f>
        <v>356292.83999999997</v>
      </c>
      <c r="C26" s="122">
        <f>SUM(C22:C25)</f>
        <v>365000</v>
      </c>
      <c r="D26" s="122">
        <f>SUM(D22:D25)</f>
        <v>320000</v>
      </c>
      <c r="E26" s="122">
        <f>SUM(E22:E25)</f>
        <v>309189.21999999997</v>
      </c>
      <c r="F26" s="120">
        <f>B26/C26</f>
        <v>0.97614476712328757</v>
      </c>
    </row>
    <row r="27" spans="1:9">
      <c r="A27" s="98" t="s">
        <v>83</v>
      </c>
      <c r="B27" s="125">
        <f>B10+B19+B20+B26</f>
        <v>23899545.899999999</v>
      </c>
      <c r="C27" s="125">
        <f>C10+C19+C20+C26</f>
        <v>23908000</v>
      </c>
      <c r="D27" s="125">
        <f>D10+D19+D20+D26</f>
        <v>22375200</v>
      </c>
      <c r="E27" s="125">
        <f>E10+E19+E20+E26</f>
        <v>21155219.780000001</v>
      </c>
      <c r="F27" s="120">
        <f>B27/C27</f>
        <v>0.99964639032959668</v>
      </c>
      <c r="I27" s="3"/>
    </row>
    <row r="28" spans="1:9">
      <c r="B28"/>
      <c r="D28" s="6"/>
      <c r="E28"/>
      <c r="F28" s="9"/>
    </row>
    <row r="29" spans="1:9">
      <c r="A29" s="121" t="s">
        <v>84</v>
      </c>
      <c r="B29" s="13">
        <f>B7-B27</f>
        <v>27454.280000001192</v>
      </c>
      <c r="C29" s="126">
        <f>C7-C27</f>
        <v>0</v>
      </c>
      <c r="D29" s="126">
        <f>D7-D27</f>
        <v>0</v>
      </c>
      <c r="E29" s="13">
        <f>E7-E27</f>
        <v>176251.48000000045</v>
      </c>
      <c r="F29" s="118"/>
      <c r="G29" s="3"/>
    </row>
    <row r="30" spans="1:9">
      <c r="A30" s="10"/>
      <c r="C30" s="2"/>
    </row>
  </sheetData>
  <printOptions horizontalCentered="1"/>
  <pageMargins left="0.43307086614173229" right="0.55118110236220474" top="0.74803149606299213" bottom="0.74803149606299213" header="0.31496062992125984" footer="0.31496062992125984"/>
  <pageSetup paperSize="9" orientation="landscape" verticalDpi="1200" r:id="rId1"/>
  <headerFooter>
    <oddHeader>&amp;C&amp;F&amp;R&amp;A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B3:G20"/>
  <sheetViews>
    <sheetView zoomScale="115" zoomScaleNormal="115" workbookViewId="0">
      <selection activeCell="E10" sqref="E10"/>
    </sheetView>
  </sheetViews>
  <sheetFormatPr defaultColWidth="11.5703125" defaultRowHeight="14.45"/>
  <cols>
    <col min="1" max="1" width="2.85546875" customWidth="1"/>
    <col min="2" max="2" width="53.28515625" customWidth="1"/>
    <col min="3" max="3" width="16.5703125" customWidth="1"/>
    <col min="4" max="4" width="2.140625" customWidth="1"/>
    <col min="5" max="5" width="16.85546875" bestFit="1" customWidth="1"/>
    <col min="6" max="6" width="2.5703125" customWidth="1"/>
    <col min="7" max="7" width="15.42578125" bestFit="1" customWidth="1"/>
    <col min="8" max="8" width="12.5703125" customWidth="1"/>
    <col min="9" max="9" width="17.42578125" customWidth="1"/>
    <col min="10" max="10" width="16.140625" customWidth="1"/>
    <col min="11" max="11" width="15.28515625" customWidth="1"/>
    <col min="13" max="13" width="1.5703125" customWidth="1"/>
    <col min="14" max="14" width="13.42578125" customWidth="1"/>
    <col min="15" max="15" width="14.42578125" customWidth="1"/>
    <col min="16" max="16" width="17.5703125" bestFit="1" customWidth="1"/>
    <col min="17" max="17" width="17.42578125" bestFit="1" customWidth="1"/>
    <col min="18" max="18" width="16.42578125" bestFit="1" customWidth="1"/>
    <col min="19" max="19" width="18.42578125" bestFit="1" customWidth="1"/>
    <col min="21" max="21" width="13.85546875" customWidth="1"/>
  </cols>
  <sheetData>
    <row r="3" spans="2:7" ht="28.9">
      <c r="B3" s="111" t="s">
        <v>85</v>
      </c>
      <c r="C3" s="103" t="s">
        <v>86</v>
      </c>
      <c r="D3" s="105"/>
      <c r="E3" s="103" t="s">
        <v>87</v>
      </c>
      <c r="F3" s="105"/>
      <c r="G3" s="103" t="s">
        <v>88</v>
      </c>
    </row>
    <row r="4" spans="2:7">
      <c r="B4" s="112" t="s">
        <v>89</v>
      </c>
      <c r="C4" s="104">
        <v>0</v>
      </c>
      <c r="D4" s="106"/>
      <c r="E4" s="104">
        <v>785769.56</v>
      </c>
      <c r="F4" s="106"/>
      <c r="G4" s="104">
        <v>785769.56</v>
      </c>
    </row>
    <row r="5" spans="2:7" ht="14.45" customHeight="1">
      <c r="B5" s="112" t="s">
        <v>90</v>
      </c>
      <c r="C5" s="104">
        <v>56559331.5</v>
      </c>
      <c r="D5" s="106"/>
      <c r="E5" s="104">
        <v>83331280</v>
      </c>
      <c r="F5" s="106"/>
      <c r="G5" s="104">
        <v>55409886.549999997</v>
      </c>
    </row>
    <row r="6" spans="2:7" ht="14.45" customHeight="1">
      <c r="B6" s="112" t="s">
        <v>91</v>
      </c>
      <c r="C6" s="104">
        <v>197725770</v>
      </c>
      <c r="D6" s="106"/>
      <c r="E6" s="104">
        <v>197500000</v>
      </c>
      <c r="F6" s="106"/>
      <c r="G6" s="104">
        <v>197500000</v>
      </c>
    </row>
    <row r="7" spans="2:7" ht="14.45" customHeight="1">
      <c r="B7" s="113" t="s">
        <v>92</v>
      </c>
      <c r="C7" s="104">
        <v>0</v>
      </c>
      <c r="D7" s="106"/>
      <c r="E7" s="104">
        <v>1594979</v>
      </c>
      <c r="F7" s="106"/>
      <c r="G7" s="104">
        <v>106304.83999999985</v>
      </c>
    </row>
    <row r="8" spans="2:7" ht="15" customHeight="1" thickBot="1">
      <c r="B8" s="101" t="s">
        <v>93</v>
      </c>
      <c r="C8" s="102">
        <f>SUM(C4:C7)</f>
        <v>254285101.5</v>
      </c>
      <c r="D8" s="107"/>
      <c r="E8" s="102">
        <f>SUM(E4:E7)</f>
        <v>283212028.56</v>
      </c>
      <c r="F8" s="107"/>
      <c r="G8" s="102">
        <f>SUM(G4:G7)</f>
        <v>253801960.95000002</v>
      </c>
    </row>
    <row r="9" spans="2:7" ht="15" customHeight="1" thickTop="1">
      <c r="D9" s="108"/>
      <c r="F9" s="108"/>
    </row>
    <row r="10" spans="2:7" ht="28.9">
      <c r="B10" s="114" t="s">
        <v>94</v>
      </c>
      <c r="C10" s="103" t="s">
        <v>86</v>
      </c>
      <c r="D10" s="105"/>
      <c r="E10" s="103" t="s">
        <v>87</v>
      </c>
      <c r="F10" s="105"/>
      <c r="G10" s="103" t="s">
        <v>88</v>
      </c>
    </row>
    <row r="11" spans="2:7">
      <c r="B11" s="115" t="s">
        <v>95</v>
      </c>
      <c r="C11" s="104">
        <v>550000</v>
      </c>
      <c r="D11" s="109"/>
      <c r="E11" s="104">
        <v>550000</v>
      </c>
      <c r="F11" s="109"/>
      <c r="G11" s="104">
        <v>568273.81000000006</v>
      </c>
    </row>
    <row r="12" spans="2:7" ht="14.45" customHeight="1">
      <c r="B12" s="115" t="s">
        <v>96</v>
      </c>
      <c r="C12" s="104">
        <v>166950000</v>
      </c>
      <c r="D12" s="109"/>
      <c r="E12" s="104">
        <v>166950000</v>
      </c>
      <c r="F12" s="109"/>
      <c r="G12" s="104">
        <v>167790570.85999998</v>
      </c>
    </row>
    <row r="13" spans="2:7" ht="14.45" customHeight="1">
      <c r="B13" s="115" t="s">
        <v>97</v>
      </c>
      <c r="C13" s="104">
        <v>225770</v>
      </c>
      <c r="D13" s="109"/>
      <c r="E13" s="104">
        <v>343000</v>
      </c>
      <c r="F13" s="109"/>
      <c r="G13" s="104">
        <v>204465.55999999997</v>
      </c>
    </row>
    <row r="14" spans="2:7" ht="14.45" customHeight="1">
      <c r="B14" s="115" t="s">
        <v>98</v>
      </c>
      <c r="C14" s="104">
        <v>381978.5</v>
      </c>
      <c r="D14" s="109"/>
      <c r="E14" s="104">
        <v>826979</v>
      </c>
      <c r="F14" s="109"/>
      <c r="G14" s="104">
        <v>857713.00000000012</v>
      </c>
    </row>
    <row r="15" spans="2:7" ht="14.45" customHeight="1">
      <c r="B15" s="115" t="s">
        <v>99</v>
      </c>
      <c r="C15" s="104">
        <v>0</v>
      </c>
      <c r="D15" s="109"/>
      <c r="E15" s="104">
        <v>0</v>
      </c>
      <c r="F15" s="109"/>
      <c r="G15" s="104">
        <v>0</v>
      </c>
    </row>
    <row r="16" spans="2:7" ht="14.45" customHeight="1">
      <c r="B16" s="115" t="s">
        <v>100</v>
      </c>
      <c r="C16" s="104">
        <v>56177353</v>
      </c>
      <c r="D16" s="109"/>
      <c r="E16" s="104">
        <v>55777353</v>
      </c>
      <c r="F16" s="109"/>
      <c r="G16" s="104">
        <v>55934437.130000003</v>
      </c>
    </row>
    <row r="17" spans="2:7" ht="14.45" customHeight="1">
      <c r="B17" s="115" t="s">
        <v>101</v>
      </c>
      <c r="C17" s="104">
        <v>30000000</v>
      </c>
      <c r="D17" s="109"/>
      <c r="E17" s="104">
        <v>58764696.549999997</v>
      </c>
      <c r="F17" s="109"/>
      <c r="G17" s="104">
        <v>28410570.649999999</v>
      </c>
    </row>
    <row r="18" spans="2:7" ht="14.45" customHeight="1" thickBot="1">
      <c r="B18" s="39" t="s">
        <v>102</v>
      </c>
      <c r="C18" s="40">
        <f>SUM(C11:C17)</f>
        <v>254285101.5</v>
      </c>
      <c r="D18" s="110"/>
      <c r="E18" s="40">
        <f>SUM(E11:E17)</f>
        <v>283212028.55000001</v>
      </c>
      <c r="F18" s="110"/>
      <c r="G18" s="40">
        <f>SUM(G11:G17)</f>
        <v>253766031.00999999</v>
      </c>
    </row>
    <row r="19" spans="2:7" ht="14.45" customHeight="1" thickTop="1"/>
    <row r="20" spans="2:7">
      <c r="G20" s="34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horizontalDpi="1200" verticalDpi="1200" r:id="rId1"/>
  <headerFooter>
    <oddHeader>&amp;C&amp;F&amp;R&amp;A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B2:G78"/>
  <sheetViews>
    <sheetView showGridLines="0" topLeftCell="A17" zoomScale="115" zoomScaleNormal="115" workbookViewId="0">
      <selection activeCell="E3" sqref="E3"/>
    </sheetView>
  </sheetViews>
  <sheetFormatPr defaultColWidth="11.5703125" defaultRowHeight="14.45"/>
  <cols>
    <col min="1" max="1" width="4.85546875" customWidth="1"/>
    <col min="2" max="2" width="49.5703125" bestFit="1" customWidth="1"/>
    <col min="3" max="3" width="16.28515625" bestFit="1" customWidth="1"/>
    <col min="4" max="4" width="1.7109375" customWidth="1"/>
    <col min="5" max="5" width="14.85546875" bestFit="1" customWidth="1"/>
    <col min="6" max="6" width="1.42578125" customWidth="1"/>
    <col min="7" max="7" width="14.140625" bestFit="1" customWidth="1"/>
    <col min="8" max="8" width="11" bestFit="1" customWidth="1"/>
    <col min="9" max="9" width="12.140625" bestFit="1" customWidth="1"/>
    <col min="10" max="10" width="10.42578125" bestFit="1" customWidth="1"/>
    <col min="11" max="11" width="9.28515625" customWidth="1"/>
    <col min="12" max="12" width="1.5703125" customWidth="1"/>
    <col min="13" max="13" width="8.85546875" customWidth="1"/>
    <col min="14" max="14" width="14.42578125" customWidth="1"/>
    <col min="15" max="15" width="17.5703125" bestFit="1" customWidth="1"/>
    <col min="16" max="16" width="17.42578125" bestFit="1" customWidth="1"/>
    <col min="17" max="17" width="15.5703125" bestFit="1" customWidth="1"/>
    <col min="18" max="18" width="17" bestFit="1" customWidth="1"/>
    <col min="20" max="20" width="13.7109375" customWidth="1"/>
  </cols>
  <sheetData>
    <row r="2" spans="2:7" ht="28.9">
      <c r="B2" s="45" t="s">
        <v>94</v>
      </c>
      <c r="C2" s="46" t="s">
        <v>86</v>
      </c>
      <c r="D2" s="41"/>
      <c r="E2" s="46" t="s">
        <v>103</v>
      </c>
      <c r="F2" s="41"/>
      <c r="G2" s="47" t="s">
        <v>88</v>
      </c>
    </row>
    <row r="3" spans="2:7">
      <c r="B3" s="42"/>
      <c r="C3" s="42"/>
      <c r="D3" s="42"/>
      <c r="E3" s="43"/>
      <c r="F3" s="42"/>
      <c r="G3" s="43"/>
    </row>
    <row r="4" spans="2:7">
      <c r="B4" s="48" t="s">
        <v>95</v>
      </c>
      <c r="C4" s="49"/>
      <c r="D4" s="44"/>
      <c r="E4" s="49"/>
      <c r="F4" s="44"/>
      <c r="G4" s="49"/>
    </row>
    <row r="5" spans="2:7" ht="14.65" customHeight="1">
      <c r="B5" s="36" t="s">
        <v>104</v>
      </c>
      <c r="C5" s="37">
        <v>50000</v>
      </c>
      <c r="D5" s="38"/>
      <c r="E5" s="37">
        <v>50000</v>
      </c>
      <c r="F5" s="38"/>
      <c r="G5" s="37">
        <v>65010.75</v>
      </c>
    </row>
    <row r="6" spans="2:7" ht="14.65" customHeight="1">
      <c r="B6" s="36" t="s">
        <v>105</v>
      </c>
      <c r="C6" s="37">
        <v>500000</v>
      </c>
      <c r="D6" s="38"/>
      <c r="E6" s="37">
        <v>500000</v>
      </c>
      <c r="F6" s="38"/>
      <c r="G6" s="37">
        <v>503263.06</v>
      </c>
    </row>
    <row r="7" spans="2:7" ht="14.65" customHeight="1">
      <c r="B7" s="36" t="s">
        <v>106</v>
      </c>
      <c r="C7" s="37"/>
      <c r="D7" s="38"/>
      <c r="E7" s="37"/>
      <c r="F7" s="38"/>
      <c r="G7" s="37"/>
    </row>
    <row r="8" spans="2:7" ht="14.65" customHeight="1">
      <c r="B8" s="50" t="s">
        <v>107</v>
      </c>
      <c r="C8" s="51">
        <v>550000</v>
      </c>
      <c r="D8" s="38"/>
      <c r="E8" s="51">
        <v>550000</v>
      </c>
      <c r="F8" s="38"/>
      <c r="G8" s="51">
        <v>568273.81000000006</v>
      </c>
    </row>
    <row r="9" spans="2:7" ht="14.65" customHeight="1">
      <c r="B9" s="52" t="s">
        <v>108</v>
      </c>
      <c r="C9" s="87">
        <f>SUM(C8:C8)</f>
        <v>550000</v>
      </c>
      <c r="D9" s="44"/>
      <c r="E9" s="87">
        <f>SUM(E8:E8)</f>
        <v>550000</v>
      </c>
      <c r="F9" s="44"/>
      <c r="G9" s="87">
        <f>SUM(G8:G8)</f>
        <v>568273.81000000006</v>
      </c>
    </row>
    <row r="10" spans="2:7" ht="15" customHeight="1">
      <c r="B10" s="53"/>
      <c r="C10" s="54"/>
      <c r="D10" s="44"/>
      <c r="E10" s="54"/>
      <c r="F10" s="44"/>
      <c r="G10" s="54"/>
    </row>
    <row r="11" spans="2:7" ht="15" customHeight="1">
      <c r="B11" s="48" t="s">
        <v>96</v>
      </c>
      <c r="C11" s="49"/>
      <c r="D11" s="44"/>
      <c r="E11" s="49"/>
      <c r="F11" s="44"/>
      <c r="G11" s="49"/>
    </row>
    <row r="12" spans="2:7" ht="15" customHeight="1">
      <c r="B12" s="36" t="s">
        <v>104</v>
      </c>
      <c r="C12" s="37">
        <v>14145000</v>
      </c>
      <c r="D12" s="38"/>
      <c r="E12" s="37">
        <v>14368700</v>
      </c>
      <c r="F12" s="38"/>
      <c r="G12" s="37">
        <v>14779698.850000001</v>
      </c>
    </row>
    <row r="13" spans="2:7" ht="15" customHeight="1">
      <c r="B13" s="36" t="s">
        <v>109</v>
      </c>
      <c r="C13" s="37">
        <v>148575000</v>
      </c>
      <c r="D13" s="38"/>
      <c r="E13" s="37">
        <v>148575000</v>
      </c>
      <c r="F13" s="38"/>
      <c r="G13" s="37">
        <v>148971640.16</v>
      </c>
    </row>
    <row r="14" spans="2:7">
      <c r="B14" s="36" t="s">
        <v>106</v>
      </c>
      <c r="C14" s="37">
        <v>2250000</v>
      </c>
      <c r="D14" s="38"/>
      <c r="E14" s="37">
        <v>2276300</v>
      </c>
      <c r="F14" s="38"/>
      <c r="G14" s="37">
        <v>2276217.6900000004</v>
      </c>
    </row>
    <row r="15" spans="2:7" ht="14.65" customHeight="1">
      <c r="B15" s="50" t="s">
        <v>107</v>
      </c>
      <c r="C15" s="88">
        <f>SUM(C12:C14)</f>
        <v>164970000</v>
      </c>
      <c r="D15" s="44"/>
      <c r="E15" s="51">
        <v>165220000</v>
      </c>
      <c r="F15" s="44"/>
      <c r="G15" s="51">
        <v>166027556.69999999</v>
      </c>
    </row>
    <row r="16" spans="2:7" ht="14.65" customHeight="1">
      <c r="B16" s="55" t="s">
        <v>110</v>
      </c>
      <c r="C16" s="37">
        <v>345000</v>
      </c>
      <c r="D16" s="38"/>
      <c r="E16" s="37">
        <v>345000</v>
      </c>
      <c r="F16" s="38"/>
      <c r="G16" s="37">
        <v>345000</v>
      </c>
    </row>
    <row r="17" spans="2:7" ht="14.65" customHeight="1">
      <c r="B17" s="55" t="s">
        <v>111</v>
      </c>
      <c r="C17" s="37">
        <v>250000</v>
      </c>
      <c r="D17" s="38"/>
      <c r="E17" s="37">
        <v>0</v>
      </c>
      <c r="F17" s="38"/>
      <c r="G17" s="37">
        <v>0</v>
      </c>
    </row>
    <row r="18" spans="2:7" ht="14.65" customHeight="1">
      <c r="B18" s="55" t="s">
        <v>112</v>
      </c>
      <c r="C18" s="37">
        <v>180000</v>
      </c>
      <c r="D18" s="38"/>
      <c r="E18" s="37">
        <v>180000</v>
      </c>
      <c r="F18" s="38"/>
      <c r="G18" s="37">
        <v>180000</v>
      </c>
    </row>
    <row r="19" spans="2:7" ht="14.65" customHeight="1">
      <c r="B19" s="55" t="s">
        <v>113</v>
      </c>
      <c r="C19" s="37">
        <v>1205000</v>
      </c>
      <c r="D19" s="38"/>
      <c r="E19" s="37">
        <v>1205000</v>
      </c>
      <c r="F19" s="38"/>
      <c r="G19" s="37">
        <v>1238014.1600000001</v>
      </c>
    </row>
    <row r="20" spans="2:7" ht="14.65" customHeight="1">
      <c r="B20" s="52" t="s">
        <v>114</v>
      </c>
      <c r="C20" s="89">
        <f>SUM(C15:C19)</f>
        <v>166950000</v>
      </c>
      <c r="D20" s="44"/>
      <c r="E20" s="89">
        <f>SUM(E15:E19)</f>
        <v>166950000</v>
      </c>
      <c r="F20" s="44"/>
      <c r="G20" s="89">
        <f>SUM(G15:G19)</f>
        <v>167790570.85999998</v>
      </c>
    </row>
    <row r="21" spans="2:7" ht="14.65" customHeight="1">
      <c r="B21" s="53"/>
      <c r="C21" s="54"/>
      <c r="D21" s="44"/>
      <c r="E21" s="54"/>
      <c r="F21" s="44"/>
      <c r="G21" s="54"/>
    </row>
    <row r="22" spans="2:7" ht="14.65" customHeight="1">
      <c r="B22" s="48" t="s">
        <v>97</v>
      </c>
      <c r="C22" s="49"/>
      <c r="D22" s="44"/>
      <c r="E22" s="49"/>
      <c r="F22" s="44"/>
      <c r="G22" s="49"/>
    </row>
    <row r="23" spans="2:7" ht="14.65" customHeight="1">
      <c r="B23" s="36" t="s">
        <v>104</v>
      </c>
      <c r="C23" s="37">
        <v>200000</v>
      </c>
      <c r="D23" s="38"/>
      <c r="E23" s="37">
        <v>300000</v>
      </c>
      <c r="F23" s="38"/>
      <c r="G23" s="37">
        <v>256122.55999999997</v>
      </c>
    </row>
    <row r="24" spans="2:7">
      <c r="B24" s="36" t="s">
        <v>109</v>
      </c>
      <c r="C24" s="37"/>
      <c r="D24" s="38"/>
      <c r="E24" s="37"/>
      <c r="F24" s="38"/>
      <c r="G24" s="37">
        <v>-94657</v>
      </c>
    </row>
    <row r="25" spans="2:7">
      <c r="B25" s="36" t="s">
        <v>106</v>
      </c>
      <c r="C25" s="37"/>
      <c r="D25" s="38"/>
      <c r="E25" s="37"/>
      <c r="F25" s="38"/>
      <c r="G25" s="37"/>
    </row>
    <row r="26" spans="2:7">
      <c r="B26" s="50" t="s">
        <v>107</v>
      </c>
      <c r="C26" s="51">
        <v>200000</v>
      </c>
      <c r="D26" s="44"/>
      <c r="E26" s="51">
        <v>300000</v>
      </c>
      <c r="F26" s="44"/>
      <c r="G26" s="51">
        <v>161465.55999999997</v>
      </c>
    </row>
    <row r="27" spans="2:7">
      <c r="B27" s="55" t="s">
        <v>110</v>
      </c>
      <c r="C27" s="37"/>
      <c r="D27" s="38"/>
      <c r="E27" s="37"/>
      <c r="F27" s="38"/>
      <c r="G27" s="37"/>
    </row>
    <row r="28" spans="2:7">
      <c r="B28" s="55" t="s">
        <v>111</v>
      </c>
      <c r="C28" s="37"/>
      <c r="D28" s="38"/>
      <c r="E28" s="37"/>
      <c r="F28" s="38"/>
      <c r="G28" s="37"/>
    </row>
    <row r="29" spans="2:7">
      <c r="B29" s="55" t="s">
        <v>112</v>
      </c>
      <c r="C29" s="37">
        <v>11000</v>
      </c>
      <c r="D29" s="38"/>
      <c r="E29" s="37">
        <v>20000</v>
      </c>
      <c r="F29" s="38"/>
      <c r="G29" s="37">
        <v>20000</v>
      </c>
    </row>
    <row r="30" spans="2:7">
      <c r="B30" s="55" t="s">
        <v>113</v>
      </c>
      <c r="C30" s="37">
        <v>14770.000000000002</v>
      </c>
      <c r="D30" s="38"/>
      <c r="E30" s="37">
        <v>23000</v>
      </c>
      <c r="F30" s="38"/>
      <c r="G30" s="37">
        <v>23000</v>
      </c>
    </row>
    <row r="31" spans="2:7">
      <c r="B31" s="52" t="s">
        <v>114</v>
      </c>
      <c r="C31" s="89">
        <f>SUM(C26:C30)</f>
        <v>225770</v>
      </c>
      <c r="D31" s="44"/>
      <c r="E31" s="89">
        <f>SUM(E26:E30)</f>
        <v>343000</v>
      </c>
      <c r="F31" s="44"/>
      <c r="G31" s="89">
        <f>SUM(G26:G30)</f>
        <v>204465.55999999997</v>
      </c>
    </row>
    <row r="32" spans="2:7">
      <c r="B32" s="53"/>
      <c r="C32" s="54"/>
      <c r="D32" s="44"/>
      <c r="E32" s="54"/>
      <c r="F32" s="44"/>
      <c r="G32" s="54"/>
    </row>
    <row r="33" spans="2:7">
      <c r="B33" s="48" t="s">
        <v>115</v>
      </c>
      <c r="C33" s="49"/>
      <c r="D33" s="44"/>
      <c r="E33" s="49"/>
      <c r="F33" s="44"/>
      <c r="G33" s="49"/>
    </row>
    <row r="34" spans="2:7">
      <c r="B34" s="36" t="s">
        <v>104</v>
      </c>
      <c r="C34" s="37">
        <v>335000</v>
      </c>
      <c r="D34" s="38"/>
      <c r="E34" s="37">
        <v>741600</v>
      </c>
      <c r="F34" s="38"/>
      <c r="G34" s="37">
        <v>1009737.17</v>
      </c>
    </row>
    <row r="35" spans="2:7">
      <c r="B35" s="36" t="s">
        <v>109</v>
      </c>
      <c r="C35" s="37"/>
      <c r="D35" s="38"/>
      <c r="E35" s="37"/>
      <c r="F35" s="38"/>
      <c r="G35" s="37">
        <v>-226718.07</v>
      </c>
    </row>
    <row r="36" spans="2:7">
      <c r="B36" s="36" t="s">
        <v>106</v>
      </c>
      <c r="C36" s="37"/>
      <c r="D36" s="38"/>
      <c r="E36" s="37"/>
      <c r="F36" s="38"/>
      <c r="G36" s="37"/>
    </row>
    <row r="37" spans="2:7">
      <c r="B37" s="50" t="s">
        <v>107</v>
      </c>
      <c r="C37" s="51">
        <v>335000</v>
      </c>
      <c r="D37" s="44"/>
      <c r="E37" s="51">
        <v>741600</v>
      </c>
      <c r="F37" s="44"/>
      <c r="G37" s="51">
        <v>783019.10000000009</v>
      </c>
    </row>
    <row r="38" spans="2:7">
      <c r="B38" s="55" t="s">
        <v>110</v>
      </c>
      <c r="C38" s="37">
        <v>10000</v>
      </c>
      <c r="D38" s="38"/>
      <c r="E38" s="37">
        <v>10000</v>
      </c>
      <c r="F38" s="38"/>
      <c r="G38" s="37">
        <v>9588.75</v>
      </c>
    </row>
    <row r="39" spans="2:7">
      <c r="B39" s="55" t="s">
        <v>111</v>
      </c>
      <c r="C39" s="37"/>
      <c r="D39" s="38"/>
      <c r="E39" s="37"/>
      <c r="F39" s="38"/>
      <c r="G39" s="37"/>
    </row>
    <row r="40" spans="2:7">
      <c r="B40" s="55" t="s">
        <v>112</v>
      </c>
      <c r="C40" s="37">
        <v>12000</v>
      </c>
      <c r="D40" s="38"/>
      <c r="E40" s="37">
        <v>20000</v>
      </c>
      <c r="F40" s="38"/>
      <c r="G40" s="37">
        <v>20000</v>
      </c>
    </row>
    <row r="41" spans="2:7">
      <c r="B41" s="55" t="s">
        <v>113</v>
      </c>
      <c r="C41" s="37">
        <v>24978.500000000004</v>
      </c>
      <c r="D41" s="38"/>
      <c r="E41" s="37">
        <v>55379</v>
      </c>
      <c r="F41" s="38"/>
      <c r="G41" s="37">
        <v>45105.15</v>
      </c>
    </row>
    <row r="42" spans="2:7">
      <c r="B42" s="52" t="s">
        <v>114</v>
      </c>
      <c r="C42" s="89">
        <f>SUM(C37:C41)</f>
        <v>381978.5</v>
      </c>
      <c r="D42" s="44"/>
      <c r="E42" s="89">
        <f>SUM(E37:E41)</f>
        <v>826979</v>
      </c>
      <c r="F42" s="44"/>
      <c r="G42" s="89">
        <f>SUM(G37:G41)</f>
        <v>857713.00000000012</v>
      </c>
    </row>
    <row r="43" spans="2:7">
      <c r="B43" s="53"/>
      <c r="C43" s="54"/>
      <c r="D43" s="44"/>
      <c r="E43" s="54"/>
      <c r="F43" s="44"/>
      <c r="G43" s="54"/>
    </row>
    <row r="44" spans="2:7">
      <c r="B44" s="48" t="s">
        <v>116</v>
      </c>
      <c r="C44" s="49"/>
      <c r="D44" s="44"/>
      <c r="E44" s="49"/>
      <c r="F44" s="44"/>
      <c r="G44" s="49"/>
    </row>
    <row r="45" spans="2:7">
      <c r="B45" s="36" t="s">
        <v>104</v>
      </c>
      <c r="C45" s="37"/>
      <c r="D45" s="38"/>
      <c r="E45" s="37"/>
      <c r="F45" s="38"/>
      <c r="G45" s="37"/>
    </row>
    <row r="46" spans="2:7">
      <c r="B46" s="36" t="s">
        <v>109</v>
      </c>
      <c r="C46" s="37"/>
      <c r="D46" s="38"/>
      <c r="E46" s="37"/>
      <c r="F46" s="38"/>
      <c r="G46" s="37"/>
    </row>
    <row r="47" spans="2:7">
      <c r="B47" s="36" t="s">
        <v>106</v>
      </c>
      <c r="C47" s="37"/>
      <c r="D47" s="38"/>
      <c r="E47" s="37"/>
      <c r="F47" s="38"/>
      <c r="G47" s="37"/>
    </row>
    <row r="48" spans="2:7">
      <c r="B48" s="50" t="s">
        <v>107</v>
      </c>
      <c r="C48" s="51">
        <v>0</v>
      </c>
      <c r="D48" s="44"/>
      <c r="E48" s="51">
        <v>0</v>
      </c>
      <c r="F48" s="44"/>
      <c r="G48" s="51">
        <v>0</v>
      </c>
    </row>
    <row r="49" spans="2:7">
      <c r="B49" s="55" t="s">
        <v>110</v>
      </c>
      <c r="C49" s="37"/>
      <c r="D49" s="38"/>
      <c r="E49" s="37"/>
      <c r="F49" s="38"/>
      <c r="G49" s="37"/>
    </row>
    <row r="50" spans="2:7">
      <c r="B50" s="55" t="s">
        <v>111</v>
      </c>
      <c r="C50" s="37"/>
      <c r="D50" s="38"/>
      <c r="E50" s="37"/>
      <c r="F50" s="38"/>
      <c r="G50" s="37"/>
    </row>
    <row r="51" spans="2:7">
      <c r="B51" s="55" t="s">
        <v>112</v>
      </c>
      <c r="C51" s="37"/>
      <c r="D51" s="38"/>
      <c r="E51" s="37"/>
      <c r="F51" s="38"/>
      <c r="G51" s="37"/>
    </row>
    <row r="52" spans="2:7">
      <c r="B52" s="55" t="s">
        <v>113</v>
      </c>
      <c r="C52" s="37"/>
      <c r="D52" s="38"/>
      <c r="E52" s="37"/>
      <c r="F52" s="38"/>
      <c r="G52" s="37"/>
    </row>
    <row r="53" spans="2:7">
      <c r="B53" s="52" t="s">
        <v>114</v>
      </c>
      <c r="C53" s="89">
        <f>SUM(C48:C52)</f>
        <v>0</v>
      </c>
      <c r="D53" s="44"/>
      <c r="E53" s="89">
        <f>SUM(E48:E52)</f>
        <v>0</v>
      </c>
      <c r="F53" s="44"/>
      <c r="G53" s="89">
        <f>SUM(G48:G52)</f>
        <v>0</v>
      </c>
    </row>
    <row r="54" spans="2:7">
      <c r="B54" s="36"/>
      <c r="C54" s="54"/>
      <c r="D54" s="44"/>
      <c r="E54" s="54"/>
      <c r="F54" s="44"/>
      <c r="G54" s="54"/>
    </row>
    <row r="55" spans="2:7">
      <c r="B55" s="48" t="s">
        <v>100</v>
      </c>
      <c r="C55" s="49"/>
      <c r="D55" s="44"/>
      <c r="E55" s="49"/>
      <c r="F55" s="44"/>
      <c r="G55" s="49"/>
    </row>
    <row r="56" spans="2:7">
      <c r="B56" s="36" t="s">
        <v>104</v>
      </c>
      <c r="C56" s="37">
        <v>1955000</v>
      </c>
      <c r="D56" s="38"/>
      <c r="E56" s="37">
        <v>1555000</v>
      </c>
      <c r="F56" s="38"/>
      <c r="G56" s="37">
        <v>1643132.4899999998</v>
      </c>
    </row>
    <row r="57" spans="2:7">
      <c r="B57" s="36" t="s">
        <v>109</v>
      </c>
      <c r="C57" s="37">
        <v>52927353</v>
      </c>
      <c r="D57" s="38"/>
      <c r="E57" s="37">
        <v>52927353</v>
      </c>
      <c r="F57" s="38"/>
      <c r="G57" s="37">
        <v>52997849</v>
      </c>
    </row>
    <row r="58" spans="2:7">
      <c r="B58" s="36" t="s">
        <v>106</v>
      </c>
      <c r="C58" s="37">
        <v>425000</v>
      </c>
      <c r="D58" s="38"/>
      <c r="E58" s="37">
        <v>415000</v>
      </c>
      <c r="F58" s="38"/>
      <c r="G58" s="37">
        <v>413455.64</v>
      </c>
    </row>
    <row r="59" spans="2:7">
      <c r="B59" s="50" t="s">
        <v>107</v>
      </c>
      <c r="C59" s="51">
        <v>55307353</v>
      </c>
      <c r="D59" s="44"/>
      <c r="E59" s="51">
        <v>54897353</v>
      </c>
      <c r="F59" s="44"/>
      <c r="G59" s="51">
        <v>55054437.130000003</v>
      </c>
    </row>
    <row r="60" spans="2:7">
      <c r="B60" s="55" t="s">
        <v>110</v>
      </c>
      <c r="C60" s="37">
        <v>60000</v>
      </c>
      <c r="D60" s="38"/>
      <c r="E60" s="37">
        <v>110000</v>
      </c>
      <c r="F60" s="38"/>
      <c r="G60" s="37">
        <v>110000</v>
      </c>
    </row>
    <row r="61" spans="2:7">
      <c r="B61" s="55" t="s">
        <v>111</v>
      </c>
      <c r="C61" s="37">
        <v>40000</v>
      </c>
      <c r="D61" s="38"/>
      <c r="E61" s="37">
        <v>0</v>
      </c>
      <c r="F61" s="38"/>
      <c r="G61" s="37">
        <v>0</v>
      </c>
    </row>
    <row r="62" spans="2:7">
      <c r="B62" s="55" t="s">
        <v>112</v>
      </c>
      <c r="C62" s="37">
        <v>20000</v>
      </c>
      <c r="D62" s="38"/>
      <c r="E62" s="37">
        <v>20000</v>
      </c>
      <c r="F62" s="38"/>
      <c r="G62" s="37">
        <v>20000</v>
      </c>
    </row>
    <row r="63" spans="2:7">
      <c r="B63" s="55" t="s">
        <v>113</v>
      </c>
      <c r="C63" s="37">
        <v>750000</v>
      </c>
      <c r="D63" s="38"/>
      <c r="E63" s="37">
        <v>750000</v>
      </c>
      <c r="F63" s="38"/>
      <c r="G63" s="37">
        <v>750000</v>
      </c>
    </row>
    <row r="64" spans="2:7">
      <c r="B64" s="52" t="s">
        <v>114</v>
      </c>
      <c r="C64" s="89">
        <f>SUM(C59:C63)</f>
        <v>56177353</v>
      </c>
      <c r="D64" s="44"/>
      <c r="E64" s="89">
        <f>SUM(E59:E63)</f>
        <v>55777353</v>
      </c>
      <c r="F64" s="44"/>
      <c r="G64" s="89">
        <f>SUM(G59:G63)</f>
        <v>55934437.130000003</v>
      </c>
    </row>
    <row r="65" spans="2:7">
      <c r="B65" s="53"/>
      <c r="C65" s="54"/>
      <c r="D65" s="44"/>
      <c r="E65" s="54"/>
      <c r="F65" s="44"/>
      <c r="G65" s="54"/>
    </row>
    <row r="66" spans="2:7">
      <c r="B66" s="48" t="s">
        <v>101</v>
      </c>
      <c r="C66" s="49"/>
      <c r="D66" s="44"/>
      <c r="E66" s="49"/>
      <c r="F66" s="44"/>
      <c r="G66" s="49"/>
    </row>
    <row r="67" spans="2:7">
      <c r="B67" s="36" t="s">
        <v>104</v>
      </c>
      <c r="C67" s="37">
        <v>2000000</v>
      </c>
      <c r="D67" s="38"/>
      <c r="E67" s="37">
        <v>3280060.3</v>
      </c>
      <c r="F67" s="44"/>
      <c r="G67" s="37">
        <v>876000.5</v>
      </c>
    </row>
    <row r="68" spans="2:7">
      <c r="B68" s="36" t="s">
        <v>109</v>
      </c>
      <c r="C68" s="37">
        <v>26500000</v>
      </c>
      <c r="D68" s="38"/>
      <c r="E68" s="37">
        <v>53000000</v>
      </c>
      <c r="F68" s="44"/>
      <c r="G68" s="37">
        <v>26500000</v>
      </c>
    </row>
    <row r="69" spans="2:7">
      <c r="B69" s="36" t="s">
        <v>106</v>
      </c>
      <c r="C69" s="37">
        <v>550000</v>
      </c>
      <c r="D69" s="38"/>
      <c r="E69" s="37">
        <v>844636.25</v>
      </c>
      <c r="F69" s="44"/>
      <c r="G69" s="37">
        <v>424570.15</v>
      </c>
    </row>
    <row r="70" spans="2:7">
      <c r="B70" s="50" t="s">
        <v>107</v>
      </c>
      <c r="C70" s="51">
        <v>29050000</v>
      </c>
      <c r="D70" s="44"/>
      <c r="E70" s="51">
        <v>57124696.549999997</v>
      </c>
      <c r="F70" s="44"/>
      <c r="G70" s="51">
        <v>27800570.649999999</v>
      </c>
    </row>
    <row r="71" spans="2:7">
      <c r="B71" s="55" t="s">
        <v>110</v>
      </c>
      <c r="C71" s="37">
        <v>60000</v>
      </c>
      <c r="D71" s="38"/>
      <c r="E71" s="37">
        <v>100000</v>
      </c>
      <c r="F71" s="44"/>
      <c r="G71" s="37">
        <v>90000</v>
      </c>
    </row>
    <row r="72" spans="2:7">
      <c r="B72" s="55" t="s">
        <v>111</v>
      </c>
      <c r="C72" s="37">
        <v>200000</v>
      </c>
      <c r="D72" s="38"/>
      <c r="E72" s="37">
        <v>350000</v>
      </c>
      <c r="F72" s="44"/>
      <c r="G72" s="37">
        <v>0</v>
      </c>
    </row>
    <row r="73" spans="2:7">
      <c r="B73" s="55" t="s">
        <v>112</v>
      </c>
      <c r="C73" s="37">
        <v>40000</v>
      </c>
      <c r="D73" s="38"/>
      <c r="E73" s="37">
        <v>40000</v>
      </c>
      <c r="F73" s="44"/>
      <c r="G73" s="37">
        <v>20000</v>
      </c>
    </row>
    <row r="74" spans="2:7">
      <c r="B74" s="55" t="s">
        <v>117</v>
      </c>
      <c r="C74" s="37">
        <v>650000</v>
      </c>
      <c r="D74" s="38"/>
      <c r="E74" s="37">
        <v>1150000</v>
      </c>
      <c r="F74" s="44"/>
      <c r="G74" s="37">
        <v>500000</v>
      </c>
    </row>
    <row r="75" spans="2:7">
      <c r="B75" s="52" t="s">
        <v>114</v>
      </c>
      <c r="C75" s="89">
        <f>SUM(C70:C74)</f>
        <v>30000000</v>
      </c>
      <c r="D75" s="44"/>
      <c r="E75" s="89">
        <f>SUM(E70:E74)</f>
        <v>58764696.549999997</v>
      </c>
      <c r="F75" s="44"/>
      <c r="G75" s="89">
        <f>SUM(G70:G74)</f>
        <v>28410570.649999999</v>
      </c>
    </row>
    <row r="76" spans="2:7">
      <c r="B76" s="53"/>
      <c r="C76" s="54"/>
      <c r="D76" s="44"/>
      <c r="E76" s="54"/>
      <c r="F76" s="44"/>
      <c r="G76" s="54"/>
    </row>
    <row r="77" spans="2:7" ht="15" thickBot="1">
      <c r="B77" s="56" t="s">
        <v>102</v>
      </c>
      <c r="C77" s="57">
        <f>SUM(C75,C64,C53,C42,C31,C20,C9)</f>
        <v>254285101.5</v>
      </c>
      <c r="D77" s="44"/>
      <c r="E77" s="57">
        <f>SUM(E75,E64,E53,E42,E31,E20,E9)</f>
        <v>283212028.55000001</v>
      </c>
      <c r="F77" s="44"/>
      <c r="G77" s="57">
        <f>SUM(G75,G64,G53,G42,G31,G20,G9)</f>
        <v>253766031.00999999</v>
      </c>
    </row>
    <row r="78" spans="2:7" ht="15" thickTop="1"/>
  </sheetData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&amp;C&amp;F&amp;R&amp;A</oddHeader>
  </headerFooter>
  <rowBreaks count="1" manualBreakCount="1">
    <brk id="43" min="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71A93-8571-4E9A-8FF5-5CA9630EAE96}">
  <sheetPr>
    <tabColor theme="6"/>
    <pageSetUpPr fitToPage="1"/>
  </sheetPr>
  <dimension ref="A1:K45"/>
  <sheetViews>
    <sheetView topLeftCell="A21" zoomScaleNormal="100" workbookViewId="0">
      <selection activeCell="D41" sqref="D41"/>
    </sheetView>
  </sheetViews>
  <sheetFormatPr defaultRowHeight="14.45"/>
  <cols>
    <col min="1" max="1" width="9.5703125" bestFit="1" customWidth="1"/>
    <col min="2" max="2" width="38.5703125" bestFit="1" customWidth="1"/>
    <col min="3" max="3" width="14.7109375" customWidth="1"/>
    <col min="4" max="4" width="13.42578125" bestFit="1" customWidth="1"/>
    <col min="5" max="5" width="13.140625" bestFit="1" customWidth="1"/>
    <col min="6" max="6" width="10.7109375" bestFit="1" customWidth="1"/>
    <col min="8" max="9" width="10" bestFit="1" customWidth="1"/>
  </cols>
  <sheetData>
    <row r="1" spans="1:9" ht="18.75" customHeight="1">
      <c r="A1" s="141" t="s">
        <v>118</v>
      </c>
      <c r="B1" s="141"/>
      <c r="C1" s="141"/>
      <c r="D1" s="141"/>
      <c r="E1" s="141"/>
      <c r="F1" s="141"/>
    </row>
    <row r="2" spans="1:9" ht="15.75" customHeight="1">
      <c r="A2" s="142" t="s">
        <v>119</v>
      </c>
      <c r="B2" s="143"/>
      <c r="C2" s="82" t="s">
        <v>120</v>
      </c>
      <c r="D2" s="27" t="s">
        <v>121</v>
      </c>
      <c r="E2" s="82" t="s">
        <v>122</v>
      </c>
      <c r="F2" s="82" t="s">
        <v>123</v>
      </c>
    </row>
    <row r="3" spans="1:9" ht="18.75" customHeight="1">
      <c r="A3" s="21" t="s">
        <v>124</v>
      </c>
      <c r="B3" s="22" t="s">
        <v>125</v>
      </c>
      <c r="C3" s="80">
        <v>1590855</v>
      </c>
      <c r="D3" s="80">
        <v>1658355</v>
      </c>
      <c r="E3" s="80">
        <v>1515501.23</v>
      </c>
      <c r="F3" s="80">
        <v>142853.77000000002</v>
      </c>
    </row>
    <row r="4" spans="1:9" ht="18.75" customHeight="1">
      <c r="A4" s="21" t="s">
        <v>126</v>
      </c>
      <c r="B4" s="22" t="s">
        <v>127</v>
      </c>
      <c r="C4" s="80">
        <v>681645</v>
      </c>
      <c r="D4" s="80">
        <v>808773.79</v>
      </c>
      <c r="E4" s="80">
        <v>844279.26</v>
      </c>
      <c r="F4" s="80">
        <v>-35505.469999999972</v>
      </c>
      <c r="H4" s="3"/>
    </row>
    <row r="5" spans="1:9" ht="18.75" customHeight="1">
      <c r="A5" s="21" t="s">
        <v>128</v>
      </c>
      <c r="B5" s="22" t="s">
        <v>129</v>
      </c>
      <c r="C5" s="80">
        <v>22727500</v>
      </c>
      <c r="D5" s="80">
        <v>22727500.149999999</v>
      </c>
      <c r="E5" s="80">
        <v>22727500.149999999</v>
      </c>
      <c r="F5" s="80">
        <v>0</v>
      </c>
    </row>
    <row r="6" spans="1:9" ht="18.75" customHeight="1">
      <c r="A6" s="23" t="s">
        <v>130</v>
      </c>
      <c r="B6" s="24" t="s">
        <v>131</v>
      </c>
      <c r="C6" s="83">
        <v>25000000</v>
      </c>
      <c r="D6" s="83">
        <v>25194628.939999998</v>
      </c>
      <c r="E6" s="83">
        <v>25087280.640000001</v>
      </c>
      <c r="F6" s="83">
        <v>107348.30000000005</v>
      </c>
      <c r="I6" s="3"/>
    </row>
    <row r="7" spans="1:9" ht="18.75" customHeight="1">
      <c r="C7" s="86"/>
      <c r="D7" s="86"/>
      <c r="E7" s="86"/>
      <c r="F7" s="86"/>
    </row>
    <row r="8" spans="1:9" ht="15.6">
      <c r="A8" s="142" t="s">
        <v>132</v>
      </c>
      <c r="B8" s="143"/>
      <c r="C8" s="82" t="s">
        <v>120</v>
      </c>
      <c r="D8" s="27" t="s">
        <v>121</v>
      </c>
      <c r="E8" s="82" t="s">
        <v>122</v>
      </c>
      <c r="F8" s="82" t="s">
        <v>123</v>
      </c>
    </row>
    <row r="9" spans="1:9" ht="18.75" customHeight="1">
      <c r="A9" s="25" t="s">
        <v>133</v>
      </c>
      <c r="B9" s="26" t="s">
        <v>134</v>
      </c>
      <c r="C9" s="80">
        <v>1081755</v>
      </c>
      <c r="D9" s="80">
        <v>1081755</v>
      </c>
      <c r="E9" s="80">
        <v>1056868.48</v>
      </c>
      <c r="F9" s="80">
        <v>24886.520000000019</v>
      </c>
    </row>
    <row r="10" spans="1:9" ht="18.75" customHeight="1">
      <c r="A10" s="25" t="s">
        <v>135</v>
      </c>
      <c r="B10" s="26" t="s">
        <v>136</v>
      </c>
      <c r="C10" s="80">
        <v>93600</v>
      </c>
      <c r="D10" s="80">
        <v>111100</v>
      </c>
      <c r="E10" s="80">
        <v>93132</v>
      </c>
      <c r="F10" s="80">
        <v>17968</v>
      </c>
    </row>
    <row r="11" spans="1:9" ht="18.75" customHeight="1">
      <c r="A11" s="25" t="s">
        <v>137</v>
      </c>
      <c r="B11" s="26" t="s">
        <v>138</v>
      </c>
      <c r="C11" s="80">
        <v>200000</v>
      </c>
      <c r="D11" s="80">
        <v>250000</v>
      </c>
      <c r="E11" s="80">
        <v>150000</v>
      </c>
      <c r="F11" s="80">
        <v>100000</v>
      </c>
    </row>
    <row r="12" spans="1:9" ht="18.75" customHeight="1">
      <c r="A12" s="25" t="s">
        <v>139</v>
      </c>
      <c r="B12" s="26" t="s">
        <v>140</v>
      </c>
      <c r="C12" s="80">
        <v>215500</v>
      </c>
      <c r="D12" s="80">
        <v>215500</v>
      </c>
      <c r="E12" s="80">
        <v>215500.75</v>
      </c>
      <c r="F12" s="80">
        <v>-0.75</v>
      </c>
    </row>
    <row r="13" spans="1:9" ht="18.75" customHeight="1">
      <c r="A13" s="142" t="s">
        <v>141</v>
      </c>
      <c r="B13" s="143"/>
      <c r="C13" s="85">
        <v>1590855</v>
      </c>
      <c r="D13" s="85">
        <v>1658355</v>
      </c>
      <c r="E13" s="85">
        <v>1515501.23</v>
      </c>
      <c r="F13" s="85">
        <v>142853.77000000002</v>
      </c>
    </row>
    <row r="14" spans="1:9" ht="18.75" customHeight="1">
      <c r="C14" s="86"/>
      <c r="D14" s="86"/>
      <c r="E14" s="86"/>
      <c r="F14" s="86"/>
    </row>
    <row r="15" spans="1:9" ht="15.6">
      <c r="A15" s="142" t="s">
        <v>142</v>
      </c>
      <c r="B15" s="143"/>
      <c r="C15" s="82" t="s">
        <v>120</v>
      </c>
      <c r="D15" s="27" t="s">
        <v>121</v>
      </c>
      <c r="E15" s="82" t="s">
        <v>122</v>
      </c>
      <c r="F15" s="82" t="s">
        <v>123</v>
      </c>
    </row>
    <row r="16" spans="1:9" ht="18.75" customHeight="1">
      <c r="A16" s="25" t="s">
        <v>143</v>
      </c>
      <c r="B16" s="26" t="s">
        <v>134</v>
      </c>
      <c r="C16" s="80">
        <v>241845</v>
      </c>
      <c r="D16" s="80">
        <v>241845</v>
      </c>
      <c r="E16" s="80">
        <v>212215.95</v>
      </c>
      <c r="F16" s="80">
        <v>29629.049999999988</v>
      </c>
    </row>
    <row r="17" spans="1:11" ht="18.75" customHeight="1">
      <c r="A17" s="25" t="s">
        <v>144</v>
      </c>
      <c r="B17" s="26" t="s">
        <v>145</v>
      </c>
      <c r="C17" s="80">
        <v>249600</v>
      </c>
      <c r="D17" s="80">
        <v>300000</v>
      </c>
      <c r="E17" s="80">
        <v>361349.03</v>
      </c>
      <c r="F17" s="80">
        <v>-61349.030000000028</v>
      </c>
    </row>
    <row r="18" spans="1:11" ht="18.75" customHeight="1">
      <c r="A18" s="25" t="s">
        <v>146</v>
      </c>
      <c r="B18" s="26" t="s">
        <v>147</v>
      </c>
      <c r="C18" s="80">
        <v>102400</v>
      </c>
      <c r="D18" s="80">
        <v>102000</v>
      </c>
      <c r="E18" s="80">
        <v>84519.01999999999</v>
      </c>
      <c r="F18" s="80">
        <v>17480.98000000001</v>
      </c>
    </row>
    <row r="19" spans="1:11" ht="18.75" customHeight="1">
      <c r="A19" s="25" t="s">
        <v>146</v>
      </c>
      <c r="B19" s="26" t="s">
        <v>148</v>
      </c>
      <c r="C19" s="80">
        <v>11400</v>
      </c>
      <c r="D19" s="80">
        <v>10000</v>
      </c>
      <c r="E19" s="80">
        <v>256</v>
      </c>
      <c r="F19" s="80">
        <v>9744</v>
      </c>
    </row>
    <row r="20" spans="1:11" ht="18.75" customHeight="1">
      <c r="A20" s="25" t="s">
        <v>146</v>
      </c>
      <c r="B20" s="26" t="s">
        <v>149</v>
      </c>
      <c r="C20" s="80">
        <v>22500</v>
      </c>
      <c r="D20" s="80">
        <v>127500</v>
      </c>
      <c r="E20" s="80">
        <v>33281.79</v>
      </c>
      <c r="F20" s="80">
        <v>94218.209999999992</v>
      </c>
    </row>
    <row r="21" spans="1:11" ht="18.75" customHeight="1">
      <c r="A21" s="25" t="s">
        <v>146</v>
      </c>
      <c r="B21" s="26" t="s">
        <v>150</v>
      </c>
      <c r="C21" s="80">
        <v>26500</v>
      </c>
      <c r="D21" s="80">
        <v>0</v>
      </c>
      <c r="E21" s="80">
        <v>105242.5</v>
      </c>
      <c r="F21" s="80">
        <v>-105242.5</v>
      </c>
    </row>
    <row r="22" spans="1:11" ht="18.75" customHeight="1">
      <c r="A22" s="25" t="s">
        <v>146</v>
      </c>
      <c r="B22" s="26" t="s">
        <v>151</v>
      </c>
      <c r="C22" s="80">
        <v>27400</v>
      </c>
      <c r="D22" s="80">
        <v>27428.79</v>
      </c>
      <c r="E22" s="80">
        <v>47414.97</v>
      </c>
      <c r="F22" s="80">
        <v>-19986.18</v>
      </c>
    </row>
    <row r="23" spans="1:11" ht="18.75" customHeight="1">
      <c r="A23" s="25" t="s">
        <v>146</v>
      </c>
      <c r="B23" s="26" t="s">
        <v>152</v>
      </c>
      <c r="C23" s="80">
        <v>0</v>
      </c>
      <c r="D23" s="80">
        <v>0</v>
      </c>
      <c r="E23" s="80">
        <v>0</v>
      </c>
      <c r="F23" s="80">
        <v>0</v>
      </c>
    </row>
    <row r="24" spans="1:11" ht="18.75" customHeight="1">
      <c r="A24" s="142" t="s">
        <v>153</v>
      </c>
      <c r="B24" s="143"/>
      <c r="C24" s="85">
        <v>681645</v>
      </c>
      <c r="D24" s="85">
        <v>808773.79</v>
      </c>
      <c r="E24" s="85">
        <v>844279.26</v>
      </c>
      <c r="F24" s="85">
        <v>-35505.470000000038</v>
      </c>
      <c r="I24" s="3"/>
      <c r="K24" s="3"/>
    </row>
    <row r="25" spans="1:11" ht="18.75" customHeight="1"/>
    <row r="26" spans="1:11" ht="15.6">
      <c r="A26" s="142" t="s">
        <v>154</v>
      </c>
      <c r="B26" s="143"/>
      <c r="C26" s="82" t="s">
        <v>120</v>
      </c>
      <c r="D26" s="27" t="s">
        <v>121</v>
      </c>
      <c r="E26" s="82" t="s">
        <v>122</v>
      </c>
      <c r="F26" s="82" t="s">
        <v>123</v>
      </c>
    </row>
    <row r="27" spans="1:11" ht="18.75" customHeight="1">
      <c r="A27" s="25" t="s">
        <v>128</v>
      </c>
      <c r="B27" s="26" t="s">
        <v>155</v>
      </c>
      <c r="C27" s="80">
        <v>22727500</v>
      </c>
      <c r="D27" s="80">
        <v>22727500.149999999</v>
      </c>
      <c r="E27" s="80">
        <v>22727500.149999999</v>
      </c>
      <c r="F27" s="80">
        <v>0</v>
      </c>
    </row>
    <row r="28" spans="1:11" ht="20.25" customHeight="1">
      <c r="A28" s="142" t="s">
        <v>156</v>
      </c>
      <c r="B28" s="143"/>
      <c r="C28" s="85">
        <v>22727500</v>
      </c>
      <c r="D28" s="85">
        <v>22727500.149999999</v>
      </c>
      <c r="E28" s="85">
        <v>22727500.149999999</v>
      </c>
      <c r="F28" s="84">
        <v>0</v>
      </c>
    </row>
    <row r="29" spans="1:11" ht="18.75" customHeight="1"/>
    <row r="30" spans="1:11" ht="18.75" customHeight="1">
      <c r="A30" s="147" t="s">
        <v>157</v>
      </c>
      <c r="B30" s="148"/>
      <c r="C30" s="83">
        <v>25000000</v>
      </c>
      <c r="D30" s="83">
        <v>25194628.939999998</v>
      </c>
      <c r="E30" s="83">
        <v>25087280.640000001</v>
      </c>
      <c r="F30" s="83">
        <v>107348.29999999999</v>
      </c>
      <c r="I30" s="3"/>
      <c r="J30" s="3"/>
    </row>
    <row r="31" spans="1:11" ht="18.75" customHeight="1"/>
    <row r="32" spans="1:11" ht="32.25" customHeight="1">
      <c r="A32" s="142" t="s">
        <v>119</v>
      </c>
      <c r="B32" s="143"/>
      <c r="C32" s="82" t="s">
        <v>158</v>
      </c>
      <c r="D32" s="82" t="s">
        <v>159</v>
      </c>
      <c r="E32" s="82" t="s">
        <v>160</v>
      </c>
    </row>
    <row r="33" spans="1:5" ht="18.75" customHeight="1">
      <c r="A33" s="21" t="s">
        <v>124</v>
      </c>
      <c r="B33" s="22" t="s">
        <v>125</v>
      </c>
      <c r="C33" s="81">
        <v>6.3634200000000002E-2</v>
      </c>
      <c r="D33" s="81">
        <v>6.5821767169078227E-2</v>
      </c>
      <c r="E33" s="81">
        <v>6.040914723868613E-2</v>
      </c>
    </row>
    <row r="34" spans="1:5" ht="18.75" customHeight="1">
      <c r="A34" s="21" t="s">
        <v>126</v>
      </c>
      <c r="B34" s="22" t="s">
        <v>127</v>
      </c>
      <c r="C34" s="81">
        <v>2.72658E-2</v>
      </c>
      <c r="D34" s="81">
        <v>3.210103994490502E-2</v>
      </c>
      <c r="E34" s="81">
        <v>3.3653677818466017E-2</v>
      </c>
    </row>
    <row r="35" spans="1:5" ht="18.75" customHeight="1">
      <c r="A35" s="21" t="s">
        <v>128</v>
      </c>
      <c r="B35" s="22" t="s">
        <v>129</v>
      </c>
      <c r="C35" s="81">
        <v>0.90910000000000002</v>
      </c>
      <c r="D35" s="81">
        <v>0.90207719288601673</v>
      </c>
      <c r="E35" s="81">
        <v>0.90593717494284776</v>
      </c>
    </row>
    <row r="36" spans="1:5" ht="18.75" customHeight="1">
      <c r="A36" s="23" t="s">
        <v>130</v>
      </c>
      <c r="B36" s="24" t="s">
        <v>131</v>
      </c>
      <c r="C36" s="28">
        <v>1</v>
      </c>
      <c r="D36" s="28">
        <v>1</v>
      </c>
      <c r="E36" s="28">
        <v>0.99999999999999989</v>
      </c>
    </row>
    <row r="37" spans="1:5" ht="18.75" customHeight="1"/>
    <row r="38" spans="1:5" ht="18.75" customHeight="1">
      <c r="A38" s="142" t="s">
        <v>161</v>
      </c>
      <c r="B38" s="144"/>
      <c r="C38" s="143"/>
      <c r="D38" s="79"/>
    </row>
    <row r="39" spans="1:5" ht="18.75" customHeight="1">
      <c r="A39" s="11" t="s">
        <v>162</v>
      </c>
      <c r="B39" s="17" t="s">
        <v>163</v>
      </c>
      <c r="C39" s="80">
        <v>2113196.06</v>
      </c>
      <c r="D39" s="79"/>
    </row>
    <row r="40" spans="1:5" ht="18.75" customHeight="1">
      <c r="A40" s="11" t="s">
        <v>162</v>
      </c>
      <c r="B40" s="17" t="s">
        <v>164</v>
      </c>
      <c r="C40" s="80">
        <v>2467523</v>
      </c>
      <c r="D40" s="79"/>
    </row>
    <row r="41" spans="1:5" ht="18.75" customHeight="1">
      <c r="A41" s="11" t="s">
        <v>162</v>
      </c>
      <c r="B41" s="17" t="s">
        <v>165</v>
      </c>
      <c r="C41" s="80">
        <v>-181520.63</v>
      </c>
      <c r="D41" s="79"/>
    </row>
    <row r="42" spans="1:5" ht="18.75" customHeight="1">
      <c r="A42" s="11" t="s">
        <v>166</v>
      </c>
      <c r="B42" s="17" t="s">
        <v>167</v>
      </c>
      <c r="C42" s="80">
        <v>1976760</v>
      </c>
      <c r="D42" s="79"/>
    </row>
    <row r="43" spans="1:5" ht="18.75" customHeight="1">
      <c r="A43" s="11" t="s">
        <v>166</v>
      </c>
      <c r="B43" s="17" t="s">
        <v>168</v>
      </c>
      <c r="C43" s="80">
        <f>383239+F30-0.15</f>
        <v>490587.14999999997</v>
      </c>
      <c r="D43" s="79"/>
    </row>
    <row r="44" spans="1:5" ht="18.75" customHeight="1">
      <c r="A44" s="11" t="s">
        <v>166</v>
      </c>
      <c r="B44" s="17" t="s">
        <v>169</v>
      </c>
      <c r="C44" s="80">
        <v>1931851.28</v>
      </c>
      <c r="D44" s="79"/>
    </row>
    <row r="45" spans="1:5" ht="18.75" customHeight="1">
      <c r="A45" s="145" t="s">
        <v>170</v>
      </c>
      <c r="B45" s="146"/>
      <c r="C45" s="90">
        <f>SUM(C39:C41)-SUM(C42:C44)</f>
        <v>0</v>
      </c>
      <c r="D45" s="79"/>
    </row>
  </sheetData>
  <mergeCells count="12">
    <mergeCell ref="A38:C38"/>
    <mergeCell ref="A45:B45"/>
    <mergeCell ref="A24:B24"/>
    <mergeCell ref="A26:B26"/>
    <mergeCell ref="A28:B28"/>
    <mergeCell ref="A30:B30"/>
    <mergeCell ref="A32:B32"/>
    <mergeCell ref="A1:F1"/>
    <mergeCell ref="A2:B2"/>
    <mergeCell ref="A8:B8"/>
    <mergeCell ref="A13:B13"/>
    <mergeCell ref="A15:B15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1200" verticalDpi="1200" r:id="rId1"/>
  <headerFooter>
    <oddHeader>&amp;C&amp;F&amp;R&amp;A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A1:H45"/>
  <sheetViews>
    <sheetView showGridLines="0" topLeftCell="A16" zoomScaleNormal="100" workbookViewId="0">
      <selection activeCell="D32" sqref="D32"/>
    </sheetView>
  </sheetViews>
  <sheetFormatPr defaultRowHeight="14.45"/>
  <cols>
    <col min="1" max="1" width="13.85546875" customWidth="1"/>
    <col min="2" max="2" width="53.85546875" customWidth="1"/>
    <col min="3" max="3" width="15.7109375" bestFit="1" customWidth="1"/>
    <col min="4" max="4" width="13.85546875" customWidth="1"/>
    <col min="5" max="5" width="15" bestFit="1" customWidth="1"/>
    <col min="6" max="6" width="10.85546875" customWidth="1"/>
  </cols>
  <sheetData>
    <row r="1" spans="1:8" ht="21">
      <c r="A1" s="141" t="s">
        <v>171</v>
      </c>
      <c r="B1" s="141"/>
      <c r="C1" s="141"/>
      <c r="D1" s="141"/>
      <c r="E1" s="141"/>
      <c r="F1" s="141"/>
    </row>
    <row r="2" spans="1:8" ht="31.15">
      <c r="A2" s="149" t="s">
        <v>119</v>
      </c>
      <c r="B2" s="149"/>
      <c r="C2" s="27" t="s">
        <v>120</v>
      </c>
      <c r="D2" s="27" t="s">
        <v>121</v>
      </c>
      <c r="E2" s="27" t="s">
        <v>122</v>
      </c>
      <c r="F2" s="27" t="s">
        <v>123</v>
      </c>
    </row>
    <row r="3" spans="1:8" ht="15.6">
      <c r="A3" s="21" t="s">
        <v>124</v>
      </c>
      <c r="B3" s="22" t="s">
        <v>125</v>
      </c>
      <c r="C3" s="29">
        <f>C12</f>
        <v>1458333</v>
      </c>
      <c r="D3" s="29">
        <f>D12</f>
        <v>1490333</v>
      </c>
      <c r="E3" s="29">
        <f>E12</f>
        <v>1655080.41</v>
      </c>
      <c r="F3" s="29">
        <f>D3-E3</f>
        <v>-164747.40999999992</v>
      </c>
    </row>
    <row r="4" spans="1:8" ht="15.6">
      <c r="A4" s="21" t="s">
        <v>126</v>
      </c>
      <c r="B4" s="22" t="s">
        <v>127</v>
      </c>
      <c r="C4" s="29">
        <f>C24</f>
        <v>2708333</v>
      </c>
      <c r="D4" s="29">
        <f>D24</f>
        <v>2739538.74</v>
      </c>
      <c r="E4" s="29">
        <f>E24</f>
        <v>2605909.9499999997</v>
      </c>
      <c r="F4" s="29">
        <f>D4-E4</f>
        <v>133628.7900000005</v>
      </c>
    </row>
    <row r="5" spans="1:8" ht="15.6">
      <c r="A5" s="21" t="s">
        <v>128</v>
      </c>
      <c r="B5" s="22" t="s">
        <v>172</v>
      </c>
      <c r="C5" s="29">
        <f>C28</f>
        <v>20833334</v>
      </c>
      <c r="D5" s="29">
        <f>D28</f>
        <v>20833334</v>
      </c>
      <c r="E5" s="29">
        <f>E28</f>
        <v>20802058.350000001</v>
      </c>
      <c r="F5" s="29">
        <f>D5-E5</f>
        <v>31275.64999999851</v>
      </c>
    </row>
    <row r="6" spans="1:8" ht="15.6">
      <c r="A6" s="23" t="s">
        <v>130</v>
      </c>
      <c r="B6" s="24" t="s">
        <v>131</v>
      </c>
      <c r="C6" s="30">
        <f>SUM(C3:C5)</f>
        <v>25000000</v>
      </c>
      <c r="D6" s="30">
        <f>SUM(D3:D5)</f>
        <v>25063205.740000002</v>
      </c>
      <c r="E6" s="30">
        <f>SUM(E3:E5)</f>
        <v>25063048.710000001</v>
      </c>
      <c r="F6" s="30">
        <f>SUM(F3:F5)</f>
        <v>157.02999999909662</v>
      </c>
    </row>
    <row r="7" spans="1:8">
      <c r="C7" s="31"/>
      <c r="D7" s="31"/>
      <c r="E7" s="31"/>
      <c r="F7" s="31"/>
      <c r="H7" t="s">
        <v>17</v>
      </c>
    </row>
    <row r="8" spans="1:8" ht="15.6">
      <c r="A8" s="149" t="s">
        <v>132</v>
      </c>
      <c r="B8" s="149"/>
      <c r="C8" s="32" t="s">
        <v>120</v>
      </c>
      <c r="D8" s="27" t="s">
        <v>121</v>
      </c>
      <c r="E8" s="32" t="s">
        <v>122</v>
      </c>
      <c r="F8" s="32" t="s">
        <v>123</v>
      </c>
    </row>
    <row r="9" spans="1:8" ht="15.6">
      <c r="A9" s="25" t="s">
        <v>133</v>
      </c>
      <c r="B9" s="26" t="s">
        <v>173</v>
      </c>
      <c r="C9" s="29">
        <v>836500</v>
      </c>
      <c r="D9" s="29">
        <v>836500</v>
      </c>
      <c r="E9" s="29">
        <v>840027.40999999992</v>
      </c>
      <c r="F9" s="29">
        <v>-3527.4099999999162</v>
      </c>
    </row>
    <row r="10" spans="1:8" ht="15.6">
      <c r="A10" s="25" t="s">
        <v>135</v>
      </c>
      <c r="B10" s="26" t="s">
        <v>145</v>
      </c>
      <c r="C10" s="29">
        <v>432000</v>
      </c>
      <c r="D10" s="29">
        <v>464000</v>
      </c>
      <c r="E10" s="29">
        <v>625212.5</v>
      </c>
      <c r="F10" s="29">
        <v>-161212.5</v>
      </c>
    </row>
    <row r="11" spans="1:8" ht="15.6">
      <c r="A11" s="25" t="s">
        <v>139</v>
      </c>
      <c r="B11" s="26" t="s">
        <v>140</v>
      </c>
      <c r="C11" s="29">
        <v>189833</v>
      </c>
      <c r="D11" s="29">
        <v>189833</v>
      </c>
      <c r="E11" s="29">
        <v>189840.5</v>
      </c>
      <c r="F11" s="29">
        <v>-7.5</v>
      </c>
    </row>
    <row r="12" spans="1:8" ht="15.6">
      <c r="A12" s="149" t="s">
        <v>141</v>
      </c>
      <c r="B12" s="149"/>
      <c r="C12" s="33">
        <f>SUM(C9:C11)</f>
        <v>1458333</v>
      </c>
      <c r="D12" s="33">
        <f>SUM(D9:D11)</f>
        <v>1490333</v>
      </c>
      <c r="E12" s="33">
        <f>SUM(E9:E11)</f>
        <v>1655080.41</v>
      </c>
      <c r="F12" s="33">
        <f>SUM(F9:F11)</f>
        <v>-164747.40999999992</v>
      </c>
    </row>
    <row r="13" spans="1:8">
      <c r="C13" s="31"/>
      <c r="D13" s="31"/>
      <c r="E13" s="31"/>
      <c r="F13" s="31"/>
    </row>
    <row r="14" spans="1:8" ht="15.6">
      <c r="A14" s="149" t="s">
        <v>142</v>
      </c>
      <c r="B14" s="149"/>
      <c r="C14" s="32" t="s">
        <v>120</v>
      </c>
      <c r="D14" s="27" t="s">
        <v>121</v>
      </c>
      <c r="E14" s="32" t="s">
        <v>122</v>
      </c>
      <c r="F14" s="32" t="s">
        <v>123</v>
      </c>
    </row>
    <row r="15" spans="1:8" ht="15.6">
      <c r="A15" s="25" t="s">
        <v>143</v>
      </c>
      <c r="B15" s="26" t="s">
        <v>173</v>
      </c>
      <c r="C15" s="29">
        <v>1013100</v>
      </c>
      <c r="D15" s="29">
        <v>1013100</v>
      </c>
      <c r="E15" s="29">
        <v>1031657.22</v>
      </c>
      <c r="F15" s="29">
        <v>-18557.219999999972</v>
      </c>
    </row>
    <row r="16" spans="1:8" ht="15.6">
      <c r="A16" s="25" t="s">
        <v>174</v>
      </c>
      <c r="B16" s="26" t="s">
        <v>175</v>
      </c>
      <c r="C16" s="29">
        <v>230000</v>
      </c>
      <c r="D16" s="29">
        <v>198000</v>
      </c>
      <c r="E16" s="29">
        <v>47715</v>
      </c>
      <c r="F16" s="29">
        <v>150285</v>
      </c>
    </row>
    <row r="17" spans="1:6" ht="15.6">
      <c r="A17" s="25" t="s">
        <v>176</v>
      </c>
      <c r="B17" s="26" t="s">
        <v>177</v>
      </c>
      <c r="C17" s="29">
        <v>30000</v>
      </c>
      <c r="D17" s="29">
        <v>30000</v>
      </c>
      <c r="E17" s="29">
        <v>23277</v>
      </c>
      <c r="F17" s="29">
        <v>6723</v>
      </c>
    </row>
    <row r="18" spans="1:6" ht="15.6">
      <c r="A18" s="25" t="s">
        <v>178</v>
      </c>
      <c r="B18" s="26" t="s">
        <v>179</v>
      </c>
      <c r="C18" s="29">
        <v>31500</v>
      </c>
      <c r="D18" s="29">
        <v>19000</v>
      </c>
      <c r="E18" s="29">
        <v>8754.0400000000009</v>
      </c>
      <c r="F18" s="29">
        <v>10245.959999999999</v>
      </c>
    </row>
    <row r="19" spans="1:6" ht="15.6">
      <c r="A19" s="25" t="s">
        <v>180</v>
      </c>
      <c r="B19" s="26" t="s">
        <v>181</v>
      </c>
      <c r="C19" s="29">
        <v>14300</v>
      </c>
      <c r="D19" s="29">
        <v>18800</v>
      </c>
      <c r="E19" s="29">
        <v>9909.2099999999991</v>
      </c>
      <c r="F19" s="29">
        <v>8890.7900000000009</v>
      </c>
    </row>
    <row r="20" spans="1:6" ht="15.6">
      <c r="A20" s="25" t="s">
        <v>182</v>
      </c>
      <c r="B20" s="26" t="s">
        <v>183</v>
      </c>
      <c r="C20" s="29">
        <v>264433</v>
      </c>
      <c r="D20" s="29">
        <v>398438.74</v>
      </c>
      <c r="E20" s="29">
        <v>397839.1</v>
      </c>
      <c r="F20" s="29">
        <v>599.64000000001397</v>
      </c>
    </row>
    <row r="21" spans="1:6" ht="15.6">
      <c r="A21" s="25" t="s">
        <v>184</v>
      </c>
      <c r="B21" s="26" t="s">
        <v>185</v>
      </c>
      <c r="C21" s="29">
        <v>425000</v>
      </c>
      <c r="D21" s="29">
        <v>575200</v>
      </c>
      <c r="E21" s="29">
        <v>599930.38</v>
      </c>
      <c r="F21" s="29">
        <v>-24730.380000000005</v>
      </c>
    </row>
    <row r="22" spans="1:6" ht="15.6">
      <c r="A22" s="25" t="s">
        <v>186</v>
      </c>
      <c r="B22" s="26" t="s">
        <v>187</v>
      </c>
      <c r="C22" s="29">
        <v>350000</v>
      </c>
      <c r="D22" s="29">
        <v>315000</v>
      </c>
      <c r="E22" s="29">
        <v>315000</v>
      </c>
      <c r="F22" s="29">
        <v>0</v>
      </c>
    </row>
    <row r="23" spans="1:6" ht="20.25" customHeight="1">
      <c r="A23" s="25" t="s">
        <v>188</v>
      </c>
      <c r="B23" s="26" t="s">
        <v>189</v>
      </c>
      <c r="C23" s="29">
        <v>350000</v>
      </c>
      <c r="D23" s="29">
        <v>172000</v>
      </c>
      <c r="E23" s="29">
        <v>171828</v>
      </c>
      <c r="F23" s="29">
        <v>172</v>
      </c>
    </row>
    <row r="24" spans="1:6" ht="15.6">
      <c r="A24" s="149" t="s">
        <v>153</v>
      </c>
      <c r="B24" s="149"/>
      <c r="C24" s="33">
        <f>SUM(C15:C23)</f>
        <v>2708333</v>
      </c>
      <c r="D24" s="33">
        <f>SUM(D15:D23)</f>
        <v>2739538.74</v>
      </c>
      <c r="E24" s="33">
        <f>SUM(E15:E23)</f>
        <v>2605909.9499999997</v>
      </c>
      <c r="F24" s="33">
        <f>SUM(F15:F23)</f>
        <v>133628.79000000004</v>
      </c>
    </row>
    <row r="25" spans="1:6">
      <c r="C25" s="34"/>
      <c r="D25" s="34"/>
      <c r="E25" s="34"/>
      <c r="F25" s="34"/>
    </row>
    <row r="26" spans="1:6" ht="15.6">
      <c r="A26" s="149" t="s">
        <v>190</v>
      </c>
      <c r="B26" s="149"/>
      <c r="C26" s="32" t="s">
        <v>120</v>
      </c>
      <c r="D26" s="27" t="s">
        <v>121</v>
      </c>
      <c r="E26" s="32" t="s">
        <v>122</v>
      </c>
      <c r="F26" s="32" t="s">
        <v>123</v>
      </c>
    </row>
    <row r="27" spans="1:6" ht="15.6">
      <c r="A27" s="25" t="s">
        <v>128</v>
      </c>
      <c r="B27" s="26" t="s">
        <v>191</v>
      </c>
      <c r="C27" s="29">
        <v>20833334</v>
      </c>
      <c r="D27" s="29">
        <v>20833334</v>
      </c>
      <c r="E27" s="29">
        <v>20802058.350000001</v>
      </c>
      <c r="F27" s="29">
        <v>31275.64999999851</v>
      </c>
    </row>
    <row r="28" spans="1:6" ht="15.6">
      <c r="A28" s="149" t="s">
        <v>192</v>
      </c>
      <c r="B28" s="149"/>
      <c r="C28" s="33">
        <f>SUM(C27:C27)</f>
        <v>20833334</v>
      </c>
      <c r="D28" s="33">
        <f>SUM(D27:D27)</f>
        <v>20833334</v>
      </c>
      <c r="E28" s="33">
        <f>SUM(E27:E27)</f>
        <v>20802058.350000001</v>
      </c>
      <c r="F28" s="33">
        <f>SUM(F27:F27)</f>
        <v>31275.64999999851</v>
      </c>
    </row>
    <row r="29" spans="1:6">
      <c r="C29" s="34"/>
      <c r="D29" s="34"/>
      <c r="E29" s="34"/>
      <c r="F29" s="34"/>
    </row>
    <row r="30" spans="1:6" ht="15.6">
      <c r="A30" s="153" t="s">
        <v>157</v>
      </c>
      <c r="B30" s="153"/>
      <c r="C30" s="30">
        <f>C12+C24+C28</f>
        <v>25000000</v>
      </c>
      <c r="D30" s="30">
        <f>D12+D24+D28</f>
        <v>25063205.740000002</v>
      </c>
      <c r="E30" s="30">
        <f>E12+E24+E28</f>
        <v>25063048.710000001</v>
      </c>
      <c r="F30" s="30">
        <f>F12+F24+F28</f>
        <v>157.02999999863096</v>
      </c>
    </row>
    <row r="32" spans="1:6" ht="15.6">
      <c r="A32" s="149" t="s">
        <v>119</v>
      </c>
      <c r="B32" s="149"/>
      <c r="C32" s="27" t="s">
        <v>158</v>
      </c>
      <c r="D32" s="27" t="s">
        <v>121</v>
      </c>
      <c r="E32" s="27" t="s">
        <v>160</v>
      </c>
    </row>
    <row r="33" spans="1:5" ht="15.6">
      <c r="A33" s="21" t="s">
        <v>124</v>
      </c>
      <c r="B33" s="22" t="s">
        <v>125</v>
      </c>
      <c r="C33" s="35">
        <f t="shared" ref="C33:C35" si="0">C3/$C$6</f>
        <v>5.8333320000000001E-2</v>
      </c>
      <c r="D33" s="35">
        <f>D3/$D$6</f>
        <v>5.9462983923939165E-2</v>
      </c>
      <c r="E33" s="35">
        <f>E3/$E$6</f>
        <v>6.6036675312354687E-2</v>
      </c>
    </row>
    <row r="34" spans="1:5" ht="15.6">
      <c r="A34" s="21" t="s">
        <v>126</v>
      </c>
      <c r="B34" s="22" t="s">
        <v>193</v>
      </c>
      <c r="C34" s="35">
        <f t="shared" si="0"/>
        <v>0.10833332</v>
      </c>
      <c r="D34" s="35">
        <f t="shared" ref="D34:D35" si="1">D4/$D$6</f>
        <v>0.10930520095551033</v>
      </c>
      <c r="E34" s="35">
        <f>E4/$E$6</f>
        <v>0.10397418048189236</v>
      </c>
    </row>
    <row r="35" spans="1:5" ht="15.6">
      <c r="A35" s="21" t="s">
        <v>128</v>
      </c>
      <c r="B35" s="22" t="s">
        <v>172</v>
      </c>
      <c r="C35" s="35">
        <f t="shared" si="0"/>
        <v>0.83333336000000002</v>
      </c>
      <c r="D35" s="35">
        <f t="shared" si="1"/>
        <v>0.83123181512055044</v>
      </c>
      <c r="E35" s="35">
        <f>E5/$E$6</f>
        <v>0.82998914420575298</v>
      </c>
    </row>
    <row r="36" spans="1:5" ht="15.6">
      <c r="A36" s="23" t="s">
        <v>130</v>
      </c>
      <c r="B36" s="24" t="s">
        <v>131</v>
      </c>
      <c r="C36" s="28">
        <f>SUM(C33:C35)</f>
        <v>1</v>
      </c>
      <c r="D36" s="28">
        <f>SUM(D33:D35)</f>
        <v>1</v>
      </c>
      <c r="E36" s="28">
        <f>SUM(E33:E35)</f>
        <v>1</v>
      </c>
    </row>
    <row r="38" spans="1:5" ht="15.6">
      <c r="A38" s="150" t="s">
        <v>194</v>
      </c>
      <c r="B38" s="151"/>
      <c r="C38" s="152"/>
      <c r="D38" s="59"/>
    </row>
    <row r="39" spans="1:5" ht="15.6">
      <c r="A39" s="11" t="s">
        <v>162</v>
      </c>
      <c r="B39" s="17" t="s">
        <v>195</v>
      </c>
      <c r="C39" s="29">
        <v>13476485.109999999</v>
      </c>
      <c r="D39" s="58"/>
    </row>
    <row r="40" spans="1:5" ht="15.6">
      <c r="A40" s="11" t="s">
        <v>162</v>
      </c>
      <c r="B40" s="17" t="s">
        <v>164</v>
      </c>
      <c r="C40" s="29">
        <v>4261148</v>
      </c>
      <c r="D40" s="58"/>
    </row>
    <row r="41" spans="1:5" ht="15.6">
      <c r="A41" s="11" t="s">
        <v>162</v>
      </c>
      <c r="B41" s="17" t="s">
        <v>165</v>
      </c>
      <c r="C41" s="29">
        <v>-80047.72</v>
      </c>
      <c r="D41" s="58"/>
    </row>
    <row r="42" spans="1:5" ht="15.6">
      <c r="A42" s="11" t="s">
        <v>166</v>
      </c>
      <c r="B42" s="17" t="s">
        <v>196</v>
      </c>
      <c r="C42" s="29">
        <v>15384623</v>
      </c>
      <c r="D42" s="58"/>
    </row>
    <row r="43" spans="1:5" ht="15.6">
      <c r="A43" s="11" t="s">
        <v>166</v>
      </c>
      <c r="B43" s="17" t="s">
        <v>168</v>
      </c>
      <c r="C43" s="29">
        <f>229966+F30-0.02</f>
        <v>230123.00999999864</v>
      </c>
      <c r="D43" s="58"/>
    </row>
    <row r="44" spans="1:5" ht="15.6">
      <c r="A44" s="11" t="s">
        <v>166</v>
      </c>
      <c r="B44" s="17" t="s">
        <v>169</v>
      </c>
      <c r="C44" s="29">
        <v>2042839.38</v>
      </c>
      <c r="D44" s="58"/>
    </row>
    <row r="45" spans="1:5" ht="15.6">
      <c r="A45" s="145" t="s">
        <v>170</v>
      </c>
      <c r="B45" s="146"/>
      <c r="C45" s="91">
        <f>SUM(C39:C41)-SUM(C42:C44)</f>
        <v>0</v>
      </c>
      <c r="D45" s="58"/>
    </row>
  </sheetData>
  <mergeCells count="12">
    <mergeCell ref="A32:B32"/>
    <mergeCell ref="A38:C38"/>
    <mergeCell ref="A45:B45"/>
    <mergeCell ref="A1:F1"/>
    <mergeCell ref="A2:B2"/>
    <mergeCell ref="A8:B8"/>
    <mergeCell ref="A12:B12"/>
    <mergeCell ref="A14:B14"/>
    <mergeCell ref="A24:B24"/>
    <mergeCell ref="A26:B26"/>
    <mergeCell ref="A28:B28"/>
    <mergeCell ref="A30:B30"/>
  </mergeCells>
  <printOptions horizontalCentered="1"/>
  <pageMargins left="0.35433070866141736" right="0.31496062992125984" top="0.74803149606299213" bottom="0.74803149606299213" header="0.31496062992125984" footer="0.31496062992125984"/>
  <pageSetup paperSize="9" scale="79" orientation="portrait" verticalDpi="1200" r:id="rId1"/>
  <headerFooter>
    <oddHeader>&amp;C&amp;F&amp;R&amp;A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F2E36-2270-4BED-8659-142A89E7D0A9}">
  <sheetPr>
    <tabColor theme="6"/>
  </sheetPr>
  <dimension ref="A2:E30"/>
  <sheetViews>
    <sheetView workbookViewId="0">
      <selection activeCell="F31" sqref="F31"/>
    </sheetView>
  </sheetViews>
  <sheetFormatPr defaultRowHeight="14.45"/>
  <cols>
    <col min="1" max="1" width="11.42578125" customWidth="1"/>
    <col min="2" max="2" width="55" customWidth="1"/>
    <col min="3" max="3" width="13.42578125" bestFit="1" customWidth="1"/>
    <col min="5" max="5" width="18" bestFit="1" customWidth="1"/>
  </cols>
  <sheetData>
    <row r="2" spans="1:3" ht="17.25" customHeight="1"/>
    <row r="3" spans="1:3" ht="15.6">
      <c r="A3" s="95" t="s">
        <v>197</v>
      </c>
      <c r="B3" s="96" t="s">
        <v>198</v>
      </c>
      <c r="C3" s="96" t="s">
        <v>199</v>
      </c>
    </row>
    <row r="4" spans="1:3">
      <c r="A4" s="63">
        <v>1</v>
      </c>
      <c r="B4" s="64" t="s">
        <v>200</v>
      </c>
      <c r="C4" s="65">
        <v>49321.81</v>
      </c>
    </row>
    <row r="5" spans="1:3">
      <c r="A5" s="63">
        <v>2</v>
      </c>
      <c r="B5" s="66" t="s">
        <v>201</v>
      </c>
      <c r="C5" s="67">
        <v>1005.7</v>
      </c>
    </row>
    <row r="6" spans="1:3">
      <c r="A6" s="63">
        <v>3</v>
      </c>
      <c r="B6" s="66" t="s">
        <v>202</v>
      </c>
      <c r="C6" s="67">
        <v>0</v>
      </c>
    </row>
    <row r="7" spans="1:3">
      <c r="A7" s="63">
        <v>4</v>
      </c>
      <c r="B7" s="64" t="s">
        <v>203</v>
      </c>
      <c r="C7" s="65">
        <v>0</v>
      </c>
    </row>
    <row r="8" spans="1:3">
      <c r="A8" s="63">
        <v>5</v>
      </c>
      <c r="B8" s="66" t="s">
        <v>204</v>
      </c>
      <c r="C8" s="67">
        <v>2603.4499999999998</v>
      </c>
    </row>
    <row r="9" spans="1:3">
      <c r="A9" s="63">
        <v>6</v>
      </c>
      <c r="B9" s="64" t="s">
        <v>205</v>
      </c>
      <c r="C9" s="65">
        <v>2779.32</v>
      </c>
    </row>
    <row r="10" spans="1:3">
      <c r="A10" s="68">
        <v>7</v>
      </c>
      <c r="B10" s="69" t="s">
        <v>206</v>
      </c>
      <c r="C10" s="70">
        <v>55710.279999999992</v>
      </c>
    </row>
    <row r="11" spans="1:3">
      <c r="A11" s="63">
        <v>8</v>
      </c>
      <c r="B11" s="64" t="s">
        <v>207</v>
      </c>
      <c r="C11" s="65">
        <v>0</v>
      </c>
    </row>
    <row r="12" spans="1:3">
      <c r="A12" s="68">
        <v>9</v>
      </c>
      <c r="B12" s="71" t="s">
        <v>208</v>
      </c>
      <c r="C12" s="70">
        <v>55710.279999999992</v>
      </c>
    </row>
    <row r="13" spans="1:3">
      <c r="A13" s="63">
        <v>10</v>
      </c>
      <c r="B13" s="64" t="s">
        <v>209</v>
      </c>
      <c r="C13" s="65">
        <v>0</v>
      </c>
    </row>
    <row r="14" spans="1:3">
      <c r="A14" s="68">
        <v>11</v>
      </c>
      <c r="B14" s="69" t="s">
        <v>210</v>
      </c>
      <c r="C14" s="70">
        <v>55710.279999999992</v>
      </c>
    </row>
    <row r="15" spans="1:3">
      <c r="A15" s="63">
        <v>12</v>
      </c>
      <c r="B15" s="64" t="s">
        <v>211</v>
      </c>
      <c r="C15" s="65">
        <v>0</v>
      </c>
    </row>
    <row r="16" spans="1:3">
      <c r="A16" s="72">
        <v>13</v>
      </c>
      <c r="B16" s="73" t="s">
        <v>212</v>
      </c>
      <c r="C16" s="74">
        <v>55710.279999999992</v>
      </c>
    </row>
    <row r="20" spans="1:5" ht="15.6">
      <c r="A20" s="95"/>
      <c r="B20" s="96" t="s">
        <v>213</v>
      </c>
      <c r="C20" s="96" t="s">
        <v>199</v>
      </c>
      <c r="E20" s="92" t="s">
        <v>214</v>
      </c>
    </row>
    <row r="21" spans="1:5">
      <c r="A21" s="11" t="s">
        <v>162</v>
      </c>
      <c r="B21" s="11" t="s">
        <v>215</v>
      </c>
      <c r="C21" s="77">
        <v>488949.18</v>
      </c>
      <c r="E21" s="93">
        <f>BALANCE!B20/'CONN Note 5'!C21</f>
        <v>7.438001272251169</v>
      </c>
    </row>
    <row r="22" spans="1:5">
      <c r="A22" s="11" t="s">
        <v>162</v>
      </c>
      <c r="B22" s="11" t="s">
        <v>216</v>
      </c>
      <c r="C22" s="77">
        <v>58618.67</v>
      </c>
    </row>
    <row r="23" spans="1:5">
      <c r="A23" s="11" t="s">
        <v>162</v>
      </c>
      <c r="B23" s="11" t="s">
        <v>217</v>
      </c>
      <c r="C23" s="77">
        <v>0</v>
      </c>
    </row>
    <row r="24" spans="1:5">
      <c r="A24" s="11" t="s">
        <v>218</v>
      </c>
      <c r="B24" s="11" t="s">
        <v>219</v>
      </c>
      <c r="C24" s="77">
        <v>25513.83</v>
      </c>
    </row>
    <row r="25" spans="1:5">
      <c r="A25" s="11" t="s">
        <v>218</v>
      </c>
      <c r="B25" s="11" t="s">
        <v>220</v>
      </c>
      <c r="C25" s="77">
        <v>6744.89</v>
      </c>
    </row>
    <row r="26" spans="1:5">
      <c r="A26" s="75"/>
      <c r="B26" s="75"/>
      <c r="C26" s="78"/>
    </row>
    <row r="27" spans="1:5">
      <c r="A27" s="11" t="s">
        <v>221</v>
      </c>
      <c r="B27" s="11" t="s">
        <v>222</v>
      </c>
      <c r="C27" s="77">
        <v>571019.41</v>
      </c>
    </row>
    <row r="28" spans="1:5">
      <c r="A28" s="11" t="s">
        <v>223</v>
      </c>
      <c r="B28" s="11" t="s">
        <v>224</v>
      </c>
      <c r="C28" s="97">
        <v>55710.279999999992</v>
      </c>
    </row>
    <row r="29" spans="1:5">
      <c r="A29" s="73"/>
      <c r="B29" s="73" t="s">
        <v>225</v>
      </c>
      <c r="C29" s="74">
        <v>0</v>
      </c>
    </row>
    <row r="30" spans="1:5">
      <c r="C30" s="7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Header>&amp;C&amp;F&amp;R&amp;A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8" ma:contentTypeDescription="Opret et nyt dokument." ma:contentTypeScope="" ma:versionID="2b82c56be75e88b67d449518db7d49cf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bae4ff3a6b6354d4fa2da1c956763673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/>
    <lcf76f155ced4ddcb4097134ff3c332f xmlns="0a33e1fb-23dc-4222-ac46-473c6a0131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033242-CDA9-42FD-A66E-0A055E7336ED}"/>
</file>

<file path=customXml/itemProps2.xml><?xml version="1.0" encoding="utf-8"?>
<ds:datastoreItem xmlns:ds="http://schemas.openxmlformats.org/officeDocument/2006/customXml" ds:itemID="{B74E7FCA-0C65-41BE-B597-F9B871DA0FE9}"/>
</file>

<file path=customXml/itemProps3.xml><?xml version="1.0" encoding="utf-8"?>
<ds:datastoreItem xmlns:ds="http://schemas.openxmlformats.org/officeDocument/2006/customXml" ds:itemID="{9B42A856-ACF3-4CC5-8FCA-1477E63E10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Bolette Kornum</dc:creator>
  <cp:keywords/>
  <dc:description/>
  <cp:lastModifiedBy>Jeef Bech</cp:lastModifiedBy>
  <cp:revision/>
  <dcterms:created xsi:type="dcterms:W3CDTF">2016-02-19T16:02:20Z</dcterms:created>
  <dcterms:modified xsi:type="dcterms:W3CDTF">2025-03-19T11:46:45Z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  <property fmtid="{D5CDD505-2E9C-101B-9397-08002B2CF9AE}" pid="3" name="ContentTypeId">
    <vt:lpwstr>0x010100DF6A4EA8CD694A448AAF29FEB1A8F245</vt:lpwstr>
  </property>
  <property fmtid="{D5CDD505-2E9C-101B-9397-08002B2CF9AE}" pid="4" name="Order">
    <vt:r8>7659800</vt:r8>
  </property>
  <property fmtid="{D5CDD505-2E9C-101B-9397-08002B2CF9AE}" pid="5" name="MediaServiceImageTags">
    <vt:lpwstr/>
  </property>
</Properties>
</file>