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sudk.sharepoint.com/sites/CISUSekretariat/Delte dokumenter/General/08_Forening og Bestyrelse/02_Bestyrelse/A Møder og referater/Moedeindkald 2026/Bestyrelsesmøde 2026.03.18/Bilag/"/>
    </mc:Choice>
  </mc:AlternateContent>
  <xr:revisionPtr revIDLastSave="6" documentId="13_ncr:1_{585ECD2F-85F4-4BD1-8BA2-0BAEF586944D}" xr6:coauthVersionLast="47" xr6:coauthVersionMax="47" xr10:uidLastSave="{185DBAB2-7B12-4706-8574-64DEE952CAFE}"/>
  <bookViews>
    <workbookView xWindow="-120" yWindow="-120" windowWidth="29040" windowHeight="15720" tabRatio="951" activeTab="1" xr2:uid="{00000000-000D-0000-FFFF-FFFF00000000}"/>
  </bookViews>
  <sheets>
    <sheet name="RESULTAT" sheetId="5" r:id="rId1"/>
    <sheet name="BALANCE" sheetId="28" r:id="rId2"/>
    <sheet name="CISU Note 1" sheetId="27" r:id="rId3"/>
    <sheet name="CSP Note 2(A)" sheetId="33" r:id="rId4"/>
    <sheet name="CSP Note 2(B)" sheetId="11" r:id="rId5"/>
    <sheet name="DERF 2 Note 3" sheetId="36" r:id="rId6"/>
    <sheet name="OPEN Note 4" sheetId="30" r:id="rId7"/>
    <sheet name="CONN Note 5" sheetId="35" r:id="rId8"/>
  </sheets>
  <definedNames>
    <definedName name="Print_Area" localSheetId="1">BALANCE!$A$1:$G$27</definedName>
    <definedName name="Print_Area" localSheetId="2">'CISU Note 1'!$A:$E</definedName>
    <definedName name="Print_Area" localSheetId="4">'CSP Note 2(B)'!$A$1:$F$47</definedName>
    <definedName name="Print_Area" localSheetId="6">'OPEN Note 4'!$A:$G</definedName>
    <definedName name="Print_Area" localSheetId="0">RESULTAT!$C$1:$G$21</definedName>
    <definedName name="slutdato">#REF!</definedName>
    <definedName name="startdato">#REF!</definedName>
    <definedName name="_xlnm.Print_Area" localSheetId="1">BALANCE!$A:$G</definedName>
    <definedName name="_xlnm.Print_Area" localSheetId="2">'CISU Note 1'!$A$1:$F$29</definedName>
    <definedName name="_xlnm.Print_Area" localSheetId="7">'CONN Note 5'!$A:$C</definedName>
    <definedName name="_xlnm.Print_Area" localSheetId="3">'CSP Note 2(A)'!$B:$G</definedName>
    <definedName name="_xlnm.Print_Area" localSheetId="4">'CSP Note 2(B)'!$B$2:$G$77</definedName>
    <definedName name="_xlnm.Print_Area" localSheetId="6">'OPEN Note 4'!$A$1:$F$45</definedName>
    <definedName name="_xlnm.Print_Area" localSheetId="0">RESULTAT!$B:$G</definedName>
    <definedName name="_xlnm.Print_Titles" localSheetId="4">'CSP Note 2(B)'!$2:$2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35" l="1"/>
  <c r="E12" i="35"/>
  <c r="C12" i="35"/>
  <c r="D11" i="5"/>
  <c r="C45" i="30" l="1"/>
  <c r="F27" i="30"/>
  <c r="F23" i="30"/>
  <c r="F22" i="30"/>
  <c r="F21" i="30"/>
  <c r="F18" i="30"/>
  <c r="F15" i="30"/>
  <c r="F20" i="30"/>
  <c r="F19" i="30"/>
  <c r="F17" i="30"/>
  <c r="F16" i="30"/>
  <c r="F11" i="30"/>
  <c r="F10" i="30"/>
  <c r="F9" i="30"/>
  <c r="F22" i="36" l="1"/>
  <c r="D19" i="36"/>
  <c r="F19" i="36" s="1"/>
  <c r="D27" i="36"/>
  <c r="F9" i="36"/>
  <c r="F18" i="36"/>
  <c r="F23" i="36"/>
  <c r="F21" i="36"/>
  <c r="F20" i="36"/>
  <c r="F17" i="36"/>
  <c r="F16" i="36"/>
  <c r="F15" i="36"/>
  <c r="F11" i="36"/>
  <c r="F10" i="36"/>
  <c r="F27" i="36" l="1"/>
  <c r="C30" i="36" l="1"/>
  <c r="C5" i="36"/>
  <c r="C4" i="36"/>
  <c r="F24" i="36"/>
  <c r="E24" i="36"/>
  <c r="E4" i="36" s="1"/>
  <c r="D24" i="36"/>
  <c r="C24" i="36"/>
  <c r="F28" i="36"/>
  <c r="F5" i="36" s="1"/>
  <c r="E28" i="36"/>
  <c r="E5" i="36" s="1"/>
  <c r="D28" i="36"/>
  <c r="D5" i="36" s="1"/>
  <c r="C28" i="36"/>
  <c r="F12" i="36"/>
  <c r="F3" i="36" s="1"/>
  <c r="E12" i="36"/>
  <c r="E3" i="36" s="1"/>
  <c r="D12" i="36"/>
  <c r="D3" i="36" s="1"/>
  <c r="C12" i="36"/>
  <c r="C3" i="36" s="1"/>
  <c r="C45" i="36"/>
  <c r="C6" i="36" l="1"/>
  <c r="C34" i="36" s="1"/>
  <c r="C33" i="36"/>
  <c r="D30" i="36"/>
  <c r="E6" i="36"/>
  <c r="D4" i="36"/>
  <c r="D6" i="36" s="1"/>
  <c r="D35" i="36" s="1"/>
  <c r="E30" i="36"/>
  <c r="F30" i="36"/>
  <c r="F4" i="36"/>
  <c r="F6" i="36" s="1"/>
  <c r="E35" i="36" l="1"/>
  <c r="D9" i="5"/>
  <c r="E34" i="36"/>
  <c r="C35" i="36"/>
  <c r="C36" i="36" s="1"/>
  <c r="D34" i="36"/>
  <c r="D33" i="36"/>
  <c r="E33" i="36"/>
  <c r="E36" i="36" s="1"/>
  <c r="D36" i="36" l="1"/>
  <c r="E7" i="27" l="1"/>
  <c r="D7" i="27"/>
  <c r="B7" i="27"/>
  <c r="D3" i="5" s="1"/>
  <c r="C7" i="27"/>
  <c r="E26" i="27" l="1"/>
  <c r="E14" i="27"/>
  <c r="E19" i="27" s="1"/>
  <c r="E27" i="27" l="1"/>
  <c r="F18" i="28"/>
  <c r="G18" i="28"/>
  <c r="E23" i="35" l="1"/>
  <c r="E22" i="35"/>
  <c r="E21" i="35"/>
  <c r="C24" i="35"/>
  <c r="C25" i="35" s="1"/>
  <c r="E15" i="35"/>
  <c r="E13" i="35"/>
  <c r="E11" i="35"/>
  <c r="C14" i="35"/>
  <c r="C16" i="35" s="1"/>
  <c r="E16" i="35" s="1"/>
  <c r="D12" i="5" s="1"/>
  <c r="E8" i="35"/>
  <c r="E7" i="35"/>
  <c r="E6" i="35"/>
  <c r="E5" i="35"/>
  <c r="E4" i="35"/>
  <c r="E24" i="35" l="1"/>
  <c r="E25" i="35" s="1"/>
  <c r="E10" i="35"/>
  <c r="E14" i="35"/>
  <c r="G21" i="28" l="1"/>
  <c r="G8" i="28"/>
  <c r="F10" i="28" l="1"/>
  <c r="G23" i="28"/>
  <c r="G10" i="28"/>
  <c r="B21" i="28"/>
  <c r="B12" i="28"/>
  <c r="B4" i="28"/>
  <c r="D26" i="27"/>
  <c r="C26" i="27"/>
  <c r="B26" i="27"/>
  <c r="F25" i="27"/>
  <c r="F23" i="27"/>
  <c r="F22" i="27"/>
  <c r="B23" i="28" l="1"/>
  <c r="B25" i="28" s="1"/>
  <c r="F26" i="27"/>
  <c r="F23" i="28" l="1"/>
  <c r="F13" i="5"/>
  <c r="F18" i="27"/>
  <c r="F17" i="27"/>
  <c r="D19" i="27"/>
  <c r="D27" i="27" s="1"/>
  <c r="C19" i="27"/>
  <c r="C27" i="27" s="1"/>
  <c r="B19" i="27"/>
  <c r="B27" i="27" s="1"/>
  <c r="D4" i="5" s="1"/>
  <c r="D5" i="5" s="1"/>
  <c r="F5" i="27"/>
  <c r="F4" i="27"/>
  <c r="F3" i="27"/>
  <c r="E13" i="5" l="1"/>
  <c r="B29" i="27"/>
  <c r="F7" i="27"/>
  <c r="E29" i="27" l="1"/>
  <c r="G5" i="28" l="1"/>
  <c r="F3" i="28" s="1"/>
  <c r="F5" i="28" s="1"/>
  <c r="F25" i="28" s="1"/>
  <c r="F28" i="30"/>
  <c r="E28" i="30"/>
  <c r="D28" i="30"/>
  <c r="C28" i="30"/>
  <c r="F24" i="30"/>
  <c r="E24" i="30"/>
  <c r="D24" i="30"/>
  <c r="C24" i="30"/>
  <c r="F12" i="30"/>
  <c r="E12" i="30"/>
  <c r="D12" i="30"/>
  <c r="C12" i="30"/>
  <c r="C30" i="30" l="1"/>
  <c r="D30" i="30"/>
  <c r="F30" i="30"/>
  <c r="E30" i="30"/>
  <c r="G18" i="33"/>
  <c r="D8" i="5" s="1"/>
  <c r="D13" i="5" s="1"/>
  <c r="E18" i="33"/>
  <c r="C18" i="33"/>
  <c r="E5" i="5"/>
  <c r="F5" i="5" l="1"/>
  <c r="G8" i="33"/>
  <c r="D5" i="30" l="1"/>
  <c r="C5" i="30"/>
  <c r="D3" i="30" l="1"/>
  <c r="D4" i="30"/>
  <c r="D6" i="30" l="1"/>
  <c r="D35" i="30" l="1"/>
  <c r="D34" i="30"/>
  <c r="D33" i="30"/>
  <c r="C4" i="28"/>
  <c r="C12" i="28" l="1"/>
  <c r="C21" i="28"/>
  <c r="C23" i="28" l="1"/>
  <c r="C25" i="28" s="1"/>
  <c r="E8" i="33" l="1"/>
  <c r="C8" i="33"/>
  <c r="D29" i="27"/>
  <c r="E5" i="30"/>
  <c r="F5" i="30" s="1"/>
  <c r="C3" i="30"/>
  <c r="E3" i="30"/>
  <c r="F3" i="30" s="1"/>
  <c r="E4" i="30"/>
  <c r="F4" i="30" s="1"/>
  <c r="F6" i="30" s="1"/>
  <c r="C4" i="30"/>
  <c r="G13" i="5"/>
  <c r="F15" i="27"/>
  <c r="F14" i="27"/>
  <c r="F13" i="27"/>
  <c r="F12" i="27"/>
  <c r="F20" i="27"/>
  <c r="F10" i="27"/>
  <c r="G5" i="5"/>
  <c r="C6" i="30" l="1"/>
  <c r="E6" i="30"/>
  <c r="C29" i="27"/>
  <c r="F19" i="27"/>
  <c r="F27" i="27"/>
  <c r="C34" i="30" l="1"/>
  <c r="E33" i="30"/>
  <c r="C35" i="30"/>
  <c r="C33" i="30"/>
  <c r="D36" i="30" l="1"/>
  <c r="E35" i="30"/>
  <c r="E34" i="30"/>
  <c r="C36" i="30"/>
  <c r="E36" i="30" l="1"/>
  <c r="G25" i="28"/>
</calcChain>
</file>

<file path=xl/sharedStrings.xml><?xml version="1.0" encoding="utf-8"?>
<sst xmlns="http://schemas.openxmlformats.org/spreadsheetml/2006/main" count="388" uniqueCount="221">
  <si>
    <t>Note</t>
  </si>
  <si>
    <t>Foreningen CISU</t>
  </si>
  <si>
    <t>År 2025</t>
  </si>
  <si>
    <t>År 2024</t>
  </si>
  <si>
    <t>År 2023</t>
  </si>
  <si>
    <t>År 2022</t>
  </si>
  <si>
    <t>Omsætning</t>
  </si>
  <si>
    <t>Udgifter</t>
  </si>
  <si>
    <t>Årets resultat</t>
  </si>
  <si>
    <t xml:space="preserve">Omsætning i CISUs Puljeforvaltning </t>
  </si>
  <si>
    <t>Puljen for Civilsamfund og tillægstilsagn (CSP+)</t>
  </si>
  <si>
    <t>Danish Emergency Relief Fund (DERF puljen) II</t>
  </si>
  <si>
    <t>Danish Emergency Relief Fund (DERF puljen) I</t>
  </si>
  <si>
    <t>Oplysnings- og Engagementspuljen (OPEN)</t>
  </si>
  <si>
    <t>Connect for Global Change</t>
  </si>
  <si>
    <t>Omsætning i CISUs Puljeforvaltning i alt</t>
  </si>
  <si>
    <t xml:space="preserve"> </t>
  </si>
  <si>
    <t>AKTIVER</t>
  </si>
  <si>
    <t>PASSIVER</t>
  </si>
  <si>
    <t>ANLÆGSAKTIVER</t>
  </si>
  <si>
    <t>EGENKAPITAL</t>
  </si>
  <si>
    <t>Immaterielle anlægsaktiver</t>
  </si>
  <si>
    <t>Primo</t>
  </si>
  <si>
    <t>ANLÆGSAKTIVER I ALT</t>
  </si>
  <si>
    <t>Ultimo</t>
  </si>
  <si>
    <t>OMSÆTNINGSAKTIVER</t>
  </si>
  <si>
    <t>Tilgodehavender</t>
  </si>
  <si>
    <t>HENSÆTTELSER</t>
  </si>
  <si>
    <t>Debitorgruppe 1 (CISU medlemmer)</t>
  </si>
  <si>
    <t>Udisponerede Puljemidler</t>
  </si>
  <si>
    <t>Debitorgruppe 3 (UM &amp; EU)</t>
  </si>
  <si>
    <t>Andre hensættelser</t>
  </si>
  <si>
    <t>Deposita (på lejemål)</t>
  </si>
  <si>
    <t>HENSÆTTELSER I ALT</t>
  </si>
  <si>
    <t>Andre tilgodehavender</t>
  </si>
  <si>
    <t>Tilgodehavender i alt</t>
  </si>
  <si>
    <t>SKYLDIGE OMKOSTNINGER</t>
  </si>
  <si>
    <t>Puljebevillinger tilgodehavender</t>
  </si>
  <si>
    <t>Likvide beholdninger</t>
  </si>
  <si>
    <t>Kreditorer CSP+ bevillinger</t>
  </si>
  <si>
    <t>Civilsamfundspuljen &amp; Tillæg (CSP+)</t>
  </si>
  <si>
    <t>Kreditorer DERF bevillinger</t>
  </si>
  <si>
    <t>Danish Emergency Relief Fund (DERF) I</t>
  </si>
  <si>
    <t>Kreditorer OPEN bevillinger</t>
  </si>
  <si>
    <t>Danish Emergency Relief Fund (DERF) II</t>
  </si>
  <si>
    <t>Kreditorer Connect bevillinger</t>
  </si>
  <si>
    <t xml:space="preserve">Puljebevillinger tilgodehavender i alt </t>
  </si>
  <si>
    <t xml:space="preserve">Foreningskonti, lønkonto m.fl. </t>
  </si>
  <si>
    <t>Skyldig A-skat, ATP &amp; Feriepengehensættelse</t>
  </si>
  <si>
    <t>Likvide beholdninger i alt</t>
  </si>
  <si>
    <t>Andre skyldige omkostninger</t>
  </si>
  <si>
    <t>OMSÆTNINGSAKTIVER I ALT</t>
  </si>
  <si>
    <t>SKYLDIGE OMKOSTNINGER I ALT</t>
  </si>
  <si>
    <t>Beskrivelse</t>
  </si>
  <si>
    <t>Regnskab 2025</t>
  </si>
  <si>
    <t>Opd.Budget 2025</t>
  </si>
  <si>
    <t>Orig. Budget 2025</t>
  </si>
  <si>
    <t>Regnskab 2024</t>
  </si>
  <si>
    <t>Resultat i % af Budget</t>
  </si>
  <si>
    <t>CISU Kontingent</t>
  </si>
  <si>
    <t>Udlodningsmidlerne</t>
  </si>
  <si>
    <t xml:space="preserve">Bidrag fra puljeforvaltningsaftaler m.fl. </t>
  </si>
  <si>
    <t>Salg af konsulentydelser (Bev.udvalg mm)</t>
  </si>
  <si>
    <t xml:space="preserve">Omsætning i alt </t>
  </si>
  <si>
    <t>Personale</t>
  </si>
  <si>
    <t>Medlemmer &amp; Bestyrelsen</t>
  </si>
  <si>
    <t>Bestyrelseshonorar</t>
  </si>
  <si>
    <t>Bistand til bestyrelsen</t>
  </si>
  <si>
    <t>Bestyrelsens Rejser og Mødeudgifter (inkl. Folkemøder)</t>
  </si>
  <si>
    <t>EKmidler til bestyrelsens kapacitetsudvikling</t>
  </si>
  <si>
    <t>Foreningsaktiviteter</t>
  </si>
  <si>
    <t>Generalforsamling</t>
  </si>
  <si>
    <t>Medlemsengagement</t>
  </si>
  <si>
    <t>Subtotal Medlemmer &amp; Bestyrelsen</t>
  </si>
  <si>
    <t>Kontorhold &amp; Drift</t>
  </si>
  <si>
    <t>Særlige aktiviteter</t>
  </si>
  <si>
    <t>Kontingenter/abonnementer</t>
  </si>
  <si>
    <t>Udviklingspuljen</t>
  </si>
  <si>
    <t>Rejse og Mødeudgifter v. kons.ydelser</t>
  </si>
  <si>
    <t>Grønt Regnskab Afregning</t>
  </si>
  <si>
    <t>Subtotal særlige aktiviteter</t>
  </si>
  <si>
    <t>Udgifter i alt</t>
  </si>
  <si>
    <t xml:space="preserve">Årets Resultat </t>
  </si>
  <si>
    <t>Midler til rådighed fra Udenrigsministeriet</t>
  </si>
  <si>
    <t>Oprindeligt budget</t>
  </si>
  <si>
    <t>Opdateret budget</t>
  </si>
  <si>
    <t>Regnskab</t>
  </si>
  <si>
    <t>Ikke disponerede tilsagn overført fra tidligere år</t>
  </si>
  <si>
    <t>Tilsagn fra Udenrigsministeriet, tidligere år til anvendelse i året</t>
  </si>
  <si>
    <t>Tilsagn fra Udenrigsministeriet, indeværende år</t>
  </si>
  <si>
    <t xml:space="preserve">Afregning m. bevillingshavere, renter, kursusbrugerbetaling m.m. </t>
  </si>
  <si>
    <t>Total til disposition</t>
  </si>
  <si>
    <t>Civilsamfundspuljens anvendelse på vinduer/modaliteter</t>
  </si>
  <si>
    <t>Oplysningspuljen</t>
  </si>
  <si>
    <t xml:space="preserve">Puljevindue 1: CSP Classic  </t>
  </si>
  <si>
    <t xml:space="preserve">Puljevindue 2: CSP Folkeligt Engagement </t>
  </si>
  <si>
    <t>Puljevindue 3: CSP Råderum (afsluttet i 2024)</t>
  </si>
  <si>
    <t>Puljevindue 4 CSP Klima (2018-2021) (afsluttet i 2024)</t>
  </si>
  <si>
    <t>Puljevindue 5 CSP Klima/CCAM (2022-2025)</t>
  </si>
  <si>
    <t>Puljevindue 6 CSP Naboskabsvindue (2023-2026)</t>
  </si>
  <si>
    <t>Civilsamfundspuljens aktiviteter og bevillinger i alt</t>
  </si>
  <si>
    <t>Opdateret Budget</t>
  </si>
  <si>
    <t>A1 - Aktivitetsomkostninger</t>
  </si>
  <si>
    <t>A2 - Overførsler til uafhængige partnere (OPLP)</t>
  </si>
  <si>
    <t>A3 - Programunderstøttende funktioner</t>
  </si>
  <si>
    <t>Subtotal PPA</t>
  </si>
  <si>
    <t>Total</t>
  </si>
  <si>
    <t>A2 - Overførsler til uafhængige partnere (bevillingshavere)</t>
  </si>
  <si>
    <t>A.5. Oplysningsaktiviteter</t>
  </si>
  <si>
    <t>A.6. Uallokerede midler (inkl. budgetreserve)</t>
  </si>
  <si>
    <t>A.7. Revision</t>
  </si>
  <si>
    <t>B.1. Administration</t>
  </si>
  <si>
    <t xml:space="preserve">Total </t>
  </si>
  <si>
    <t>Puljevindue 3: CSP Råderum</t>
  </si>
  <si>
    <t>Puljevindue 4 CSP Klima (2018-2021)</t>
  </si>
  <si>
    <r>
      <t xml:space="preserve">B.1. Administration, </t>
    </r>
    <r>
      <rPr>
        <i/>
        <sz val="11"/>
        <rFont val="Garamond"/>
        <family val="1"/>
      </rPr>
      <t>lump sum flat rate</t>
    </r>
  </si>
  <si>
    <t>DERF 2025-2028 Annual Accounts 2025</t>
  </si>
  <si>
    <t>Main Categories</t>
  </si>
  <si>
    <t xml:space="preserve">Orig. Budget </t>
  </si>
  <si>
    <t>Opd. Budget</t>
  </si>
  <si>
    <t>Accounts</t>
  </si>
  <si>
    <t>Balance</t>
  </si>
  <si>
    <t>A</t>
  </si>
  <si>
    <t>General administration</t>
  </si>
  <si>
    <t>B</t>
  </si>
  <si>
    <t xml:space="preserve"> Programme support</t>
  </si>
  <si>
    <t>C</t>
  </si>
  <si>
    <t>DERF Pool of funds</t>
  </si>
  <si>
    <t>D</t>
  </si>
  <si>
    <t>Total Annual Budget &amp; Account</t>
  </si>
  <si>
    <t>(A) General administration</t>
  </si>
  <si>
    <t>A.1.1</t>
  </si>
  <si>
    <t xml:space="preserve">Key Staff - Long-term (CISU Staff) </t>
  </si>
  <si>
    <t>A.1.2.1</t>
  </si>
  <si>
    <t>Steering Committee &amp; Advisory Board</t>
  </si>
  <si>
    <t>A.1.3.1</t>
  </si>
  <si>
    <t xml:space="preserve">Unspecified costs </t>
  </si>
  <si>
    <t>(A) General administration Total</t>
  </si>
  <si>
    <t>(B) Programme Support</t>
  </si>
  <si>
    <t>A.2.1</t>
  </si>
  <si>
    <t>A.2.2.1</t>
  </si>
  <si>
    <t>Assessment Consultants</t>
  </si>
  <si>
    <t>A.2.2.2</t>
  </si>
  <si>
    <t xml:space="preserve">Grant Committee </t>
  </si>
  <si>
    <t>B.2.X.</t>
  </si>
  <si>
    <t>Monitoring visits</t>
  </si>
  <si>
    <t>Steering Committee</t>
  </si>
  <si>
    <t>Advisory Board</t>
  </si>
  <si>
    <t>HQAI Verification Process</t>
  </si>
  <si>
    <t>Capacity Building/Training/Networking</t>
  </si>
  <si>
    <t>3rd party monitoring</t>
  </si>
  <si>
    <t>(B) Programme Support Total</t>
  </si>
  <si>
    <t>(C) DERF Pool of funds</t>
  </si>
  <si>
    <t>DERF Grants to Danish CSOs and partners</t>
  </si>
  <si>
    <t xml:space="preserve">(C) DERF Pool of funds Total </t>
  </si>
  <si>
    <t>(D) Total Annual Budget &amp; Account</t>
  </si>
  <si>
    <t>Orig. Budget %</t>
  </si>
  <si>
    <t>Opd. Budget %</t>
  </si>
  <si>
    <t>Accounts in %</t>
  </si>
  <si>
    <t>DERF 2021-2024 Balance 31.12.2025</t>
  </si>
  <si>
    <t>Assets</t>
  </si>
  <si>
    <t xml:space="preserve">DERF2 Bank Account </t>
  </si>
  <si>
    <t>DMFA Receivables (acc. To contract)</t>
  </si>
  <si>
    <t>Other Assets</t>
  </si>
  <si>
    <t>Liabilities</t>
  </si>
  <si>
    <t xml:space="preserve">DERF Grantees Provisions (Creditors) </t>
  </si>
  <si>
    <t>Undisposed funds transfered to next year</t>
  </si>
  <si>
    <t xml:space="preserve">Other Liabilities </t>
  </si>
  <si>
    <t>Balance Reconciliation</t>
  </si>
  <si>
    <t>OPEN Annual Accounts 2025</t>
  </si>
  <si>
    <t>OPEN Pool of funds</t>
  </si>
  <si>
    <t xml:space="preserve">Key Staff - Long-term (CISU &amp; RF Staff) </t>
  </si>
  <si>
    <t>A.2.2.</t>
  </si>
  <si>
    <t>Grant Committee &amp; Short Term experts</t>
  </si>
  <si>
    <t>B.2.1</t>
  </si>
  <si>
    <t xml:space="preserve">International travel </t>
  </si>
  <si>
    <t>B.2.2</t>
  </si>
  <si>
    <t>Local travel</t>
  </si>
  <si>
    <t>B.2.3</t>
  </si>
  <si>
    <t>Subsistence allowance</t>
  </si>
  <si>
    <t>B.2.4.1-6.</t>
  </si>
  <si>
    <t xml:space="preserve">Other project related expenses - CISU </t>
  </si>
  <si>
    <t>B.2.4.7-10.</t>
  </si>
  <si>
    <t>Other project related expenses - RF activitites</t>
  </si>
  <si>
    <t>B.2.4.11-13.</t>
  </si>
  <si>
    <t>Other project related expenses - The Why activitites</t>
  </si>
  <si>
    <t>B.2.4.14-17.</t>
  </si>
  <si>
    <t>Other project related expenses - Deltager DK activitites</t>
  </si>
  <si>
    <t>(C) OPEN Pool of funds</t>
  </si>
  <si>
    <t>OPEN Grants to Danish CSOs and partners</t>
  </si>
  <si>
    <t xml:space="preserve">(C) OPEN Pool of funds Total </t>
  </si>
  <si>
    <t>Programme support</t>
  </si>
  <si>
    <t>OPEN Balance 31.12.2025</t>
  </si>
  <si>
    <t xml:space="preserve">OPEN Bank Account </t>
  </si>
  <si>
    <t xml:space="preserve">OPEN Grantees Provisions (Creditors) </t>
  </si>
  <si>
    <t>Connect For Global Change Accounts 31.12.2025</t>
  </si>
  <si>
    <t>Cat. No.</t>
  </si>
  <si>
    <t>Description</t>
  </si>
  <si>
    <t>EUR</t>
  </si>
  <si>
    <t xml:space="preserve">DKK </t>
  </si>
  <si>
    <t>Human Resources</t>
  </si>
  <si>
    <t>Travel</t>
  </si>
  <si>
    <t>Equipment and supplies</t>
  </si>
  <si>
    <t>Project office</t>
  </si>
  <si>
    <t>Other costs, services</t>
  </si>
  <si>
    <t>Other</t>
  </si>
  <si>
    <t xml:space="preserve">Subtotal direct eligible costs of the Action (1-6) </t>
  </si>
  <si>
    <t>Indirect Costs</t>
  </si>
  <si>
    <t>Total eligible costs of the Action</t>
  </si>
  <si>
    <t>Not Applicable</t>
  </si>
  <si>
    <t>Total eligible costs</t>
  </si>
  <si>
    <t>Taxes + Contributions in Kind</t>
  </si>
  <si>
    <t>Total accepted costs of the action (11+12)</t>
  </si>
  <si>
    <t>Balance 31.12.2025</t>
  </si>
  <si>
    <t>Liquidities</t>
  </si>
  <si>
    <t>Other assets</t>
  </si>
  <si>
    <t>Liabilites</t>
  </si>
  <si>
    <t>Grantees</t>
  </si>
  <si>
    <t>Other Liabilites</t>
  </si>
  <si>
    <t>Balance check</t>
  </si>
  <si>
    <t>Kurs EUR-DKK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</si>
</sst>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0.0%"/>
    <numFmt numFmtId="167" formatCode="_(* #,##0.00_);_(* \(#,##0.00\);_(* &quot;-&quot;??_);_(@_)"/>
    <numFmt numFmtId="168" formatCode="#,##0_ ;\-#,##0\ "/>
    <numFmt numFmtId="169" formatCode="_-* #,##0.00\ _k_r_._-;\-* #,##0.00\ _k_r_._-;_-* &quot;-&quot;??\ _k_r_._-;_-@_-"/>
    <numFmt numFmtId="170" formatCode="_(* #,##0_);_(* \(#,##0\);_(* &quot;-&quot;??_);_(@_)"/>
    <numFmt numFmtId="171" formatCode="_ * #,##0.0000_ ;_ * \-#,##0.0000_ ;_ * &quot;-&quot;??_ ;_ @_ "/>
    <numFmt numFmtId="172" formatCode="_-* #,##0.000000000\ _k_r_._-;\-* #,##0.000000000\ _k_r_._-;_-* &quot;-&quot;??\ _k_r_._-;_-@_-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Garamond"/>
      <family val="1"/>
    </font>
    <font>
      <sz val="11"/>
      <name val="Garamond"/>
      <family val="1"/>
    </font>
    <font>
      <b/>
      <i/>
      <sz val="11"/>
      <name val="Garamond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Garamond"/>
      <family val="1"/>
    </font>
    <font>
      <b/>
      <sz val="16"/>
      <color theme="1"/>
      <name val="Calibri"/>
      <family val="2"/>
      <scheme val="minor"/>
    </font>
    <font>
      <i/>
      <sz val="11"/>
      <name val="Garamond"/>
      <family val="1"/>
    </font>
    <font>
      <b/>
      <sz val="12"/>
      <color theme="1"/>
      <name val="Garamond"/>
      <family val="1"/>
    </font>
    <font>
      <i/>
      <sz val="11"/>
      <color theme="1"/>
      <name val="Calibri"/>
      <family val="2"/>
      <scheme val="minor"/>
    </font>
    <font>
      <b/>
      <sz val="14"/>
      <color theme="1"/>
      <name val="Garamond"/>
      <family val="1"/>
    </font>
    <font>
      <sz val="11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0DA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4">
    <xf numFmtId="0" fontId="0" fillId="0" borderId="0"/>
    <xf numFmtId="164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2" borderId="9" applyNumberFormat="0" applyFont="0" applyAlignment="0" applyProtection="0"/>
    <xf numFmtId="0" fontId="1" fillId="2" borderId="9" applyNumberFormat="0" applyFont="0" applyAlignment="0" applyProtection="0"/>
    <xf numFmtId="164" fontId="5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6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1" fillId="0" borderId="0"/>
  </cellStyleXfs>
  <cellXfs count="170">
    <xf numFmtId="0" fontId="0" fillId="0" borderId="0" xfId="0"/>
    <xf numFmtId="165" fontId="5" fillId="0" borderId="0" xfId="6" applyNumberFormat="1" applyFont="1" applyFill="1" applyBorder="1"/>
    <xf numFmtId="165" fontId="5" fillId="0" borderId="0" xfId="6" applyNumberFormat="1" applyFont="1"/>
    <xf numFmtId="165" fontId="0" fillId="0" borderId="0" xfId="0" applyNumberForma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wrapText="1"/>
    </xf>
    <xf numFmtId="165" fontId="7" fillId="0" borderId="0" xfId="0" applyNumberFormat="1" applyFont="1"/>
    <xf numFmtId="9" fontId="5" fillId="0" borderId="0" xfId="11" applyFont="1"/>
    <xf numFmtId="0" fontId="9" fillId="0" borderId="0" xfId="0" applyFont="1"/>
    <xf numFmtId="0" fontId="0" fillId="0" borderId="4" xfId="0" applyBorder="1"/>
    <xf numFmtId="165" fontId="5" fillId="0" borderId="4" xfId="6" applyNumberFormat="1" applyFont="1" applyBorder="1"/>
    <xf numFmtId="165" fontId="9" fillId="0" borderId="4" xfId="6" applyNumberFormat="1" applyFont="1" applyBorder="1"/>
    <xf numFmtId="165" fontId="5" fillId="0" borderId="8" xfId="6" applyNumberFormat="1" applyFont="1" applyBorder="1"/>
    <xf numFmtId="0" fontId="9" fillId="0" borderId="4" xfId="6" applyNumberFormat="1" applyFont="1" applyBorder="1" applyAlignment="1">
      <alignment horizontal="center"/>
    </xf>
    <xf numFmtId="0" fontId="9" fillId="0" borderId="4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2" fillId="4" borderId="4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left" vertical="center" wrapText="1" indent="1"/>
    </xf>
    <xf numFmtId="0" fontId="12" fillId="5" borderId="4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left" vertical="center" wrapText="1" inden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165" fontId="11" fillId="4" borderId="4" xfId="6" applyNumberFormat="1" applyFont="1" applyFill="1" applyBorder="1" applyAlignment="1">
      <alignment horizontal="center" vertical="center" wrapText="1"/>
    </xf>
    <xf numFmtId="9" fontId="11" fillId="5" borderId="4" xfId="11" applyFont="1" applyFill="1" applyBorder="1" applyAlignment="1">
      <alignment vertical="center" wrapText="1"/>
    </xf>
    <xf numFmtId="3" fontId="14" fillId="0" borderId="4" xfId="6" applyNumberFormat="1" applyFont="1" applyBorder="1" applyAlignment="1">
      <alignment vertical="center" wrapText="1"/>
    </xf>
    <xf numFmtId="3" fontId="11" fillId="5" borderId="4" xfId="6" applyNumberFormat="1" applyFont="1" applyFill="1" applyBorder="1" applyAlignment="1">
      <alignment vertical="center" wrapText="1"/>
    </xf>
    <xf numFmtId="3" fontId="5" fillId="0" borderId="0" xfId="6" applyNumberFormat="1" applyFont="1"/>
    <xf numFmtId="3" fontId="11" fillId="4" borderId="4" xfId="6" applyNumberFormat="1" applyFont="1" applyFill="1" applyBorder="1" applyAlignment="1">
      <alignment horizontal="center" vertical="center" wrapText="1"/>
    </xf>
    <xf numFmtId="3" fontId="11" fillId="4" borderId="4" xfId="6" applyNumberFormat="1" applyFont="1" applyFill="1" applyBorder="1" applyAlignment="1">
      <alignment vertical="center" wrapText="1"/>
    </xf>
    <xf numFmtId="3" fontId="0" fillId="0" borderId="0" xfId="0" applyNumberFormat="1"/>
    <xf numFmtId="9" fontId="14" fillId="0" borderId="4" xfId="11" applyFont="1" applyBorder="1" applyAlignment="1">
      <alignment vertical="center" wrapText="1"/>
    </xf>
    <xf numFmtId="0" fontId="3" fillId="0" borderId="0" xfId="8" applyFont="1" applyAlignment="1">
      <alignment horizontal="left"/>
    </xf>
    <xf numFmtId="3" fontId="3" fillId="0" borderId="0" xfId="0" applyNumberFormat="1" applyFont="1"/>
    <xf numFmtId="9" fontId="3" fillId="0" borderId="0" xfId="0" applyNumberFormat="1" applyFont="1" applyAlignment="1">
      <alignment horizontal="left"/>
    </xf>
    <xf numFmtId="0" fontId="2" fillId="6" borderId="5" xfId="8" applyFont="1" applyFill="1" applyBorder="1"/>
    <xf numFmtId="3" fontId="2" fillId="6" borderId="6" xfId="8" applyNumberFormat="1" applyFont="1" applyFill="1" applyBorder="1"/>
    <xf numFmtId="3" fontId="3" fillId="0" borderId="0" xfId="8" applyNumberFormat="1" applyFont="1" applyAlignment="1">
      <alignment horizontal="left" wrapText="1"/>
    </xf>
    <xf numFmtId="0" fontId="3" fillId="0" borderId="0" xfId="0" applyFont="1"/>
    <xf numFmtId="0" fontId="3" fillId="0" borderId="0" xfId="0" applyFont="1" applyAlignment="1">
      <alignment horizontal="center"/>
    </xf>
    <xf numFmtId="9" fontId="4" fillId="0" borderId="0" xfId="0" applyNumberFormat="1" applyFont="1" applyAlignment="1">
      <alignment horizontal="left"/>
    </xf>
    <xf numFmtId="0" fontId="15" fillId="7" borderId="1" xfId="0" quotePrefix="1" applyFont="1" applyFill="1" applyBorder="1" applyAlignment="1">
      <alignment vertical="center" wrapText="1"/>
    </xf>
    <xf numFmtId="0" fontId="2" fillId="7" borderId="1" xfId="8" quotePrefix="1" applyFont="1" applyFill="1" applyBorder="1" applyAlignment="1">
      <alignment horizontal="center" wrapText="1"/>
    </xf>
    <xf numFmtId="0" fontId="2" fillId="7" borderId="1" xfId="8" quotePrefix="1" applyFont="1" applyFill="1" applyBorder="1" applyAlignment="1">
      <alignment horizontal="center" vertical="center" wrapText="1"/>
    </xf>
    <xf numFmtId="0" fontId="4" fillId="8" borderId="0" xfId="0" applyFont="1" applyFill="1"/>
    <xf numFmtId="3" fontId="4" fillId="8" borderId="0" xfId="0" applyNumberFormat="1" applyFont="1" applyFill="1"/>
    <xf numFmtId="0" fontId="2" fillId="0" borderId="0" xfId="8" applyFont="1" applyAlignment="1">
      <alignment horizontal="left"/>
    </xf>
    <xf numFmtId="3" fontId="2" fillId="0" borderId="0" xfId="0" applyNumberFormat="1" applyFont="1"/>
    <xf numFmtId="0" fontId="2" fillId="8" borderId="0" xfId="8" applyFont="1" applyFill="1"/>
    <xf numFmtId="0" fontId="2" fillId="0" borderId="0" xfId="8" applyFont="1"/>
    <xf numFmtId="3" fontId="4" fillId="0" borderId="0" xfId="0" applyNumberFormat="1" applyFont="1"/>
    <xf numFmtId="0" fontId="3" fillId="0" borderId="0" xfId="8" applyFont="1"/>
    <xf numFmtId="0" fontId="2" fillId="7" borderId="5" xfId="8" applyFont="1" applyFill="1" applyBorder="1"/>
    <xf numFmtId="3" fontId="2" fillId="7" borderId="6" xfId="8" applyNumberFormat="1" applyFont="1" applyFill="1" applyBorder="1"/>
    <xf numFmtId="168" fontId="5" fillId="0" borderId="0" xfId="6" applyNumberFormat="1" applyFont="1" applyBorder="1"/>
    <xf numFmtId="0" fontId="13" fillId="0" borderId="0" xfId="0" applyFont="1" applyAlignment="1">
      <alignment horizontal="center" vertical="center" wrapText="1"/>
    </xf>
    <xf numFmtId="165" fontId="5" fillId="0" borderId="4" xfId="6" applyNumberFormat="1" applyFont="1" applyFill="1" applyBorder="1"/>
    <xf numFmtId="164" fontId="7" fillId="0" borderId="0" xfId="6" applyFont="1"/>
    <xf numFmtId="164" fontId="7" fillId="0" borderId="0" xfId="0" applyNumberFormat="1" applyFont="1"/>
    <xf numFmtId="43" fontId="0" fillId="0" borderId="0" xfId="12" applyFont="1" applyBorder="1"/>
    <xf numFmtId="165" fontId="14" fillId="0" borderId="4" xfId="12" applyNumberFormat="1" applyFont="1" applyFill="1" applyBorder="1" applyAlignment="1">
      <alignment vertical="center" wrapText="1"/>
    </xf>
    <xf numFmtId="166" fontId="14" fillId="0" borderId="4" xfId="11" applyNumberFormat="1" applyFont="1" applyFill="1" applyBorder="1" applyAlignment="1">
      <alignment vertical="center" wrapText="1"/>
    </xf>
    <xf numFmtId="165" fontId="11" fillId="4" borderId="4" xfId="12" applyNumberFormat="1" applyFont="1" applyFill="1" applyBorder="1" applyAlignment="1">
      <alignment horizontal="center" vertical="center" wrapText="1"/>
    </xf>
    <xf numFmtId="165" fontId="11" fillId="5" borderId="4" xfId="12" applyNumberFormat="1" applyFont="1" applyFill="1" applyBorder="1" applyAlignment="1">
      <alignment vertical="center" wrapText="1"/>
    </xf>
    <xf numFmtId="165" fontId="11" fillId="4" borderId="4" xfId="12" applyNumberFormat="1" applyFont="1" applyFill="1" applyBorder="1" applyAlignment="1">
      <alignment vertical="center" wrapText="1"/>
    </xf>
    <xf numFmtId="165" fontId="0" fillId="0" borderId="0" xfId="12" applyNumberFormat="1" applyFont="1"/>
    <xf numFmtId="3" fontId="2" fillId="10" borderId="0" xfId="0" applyNumberFormat="1" applyFont="1" applyFill="1"/>
    <xf numFmtId="170" fontId="2" fillId="0" borderId="0" xfId="6" applyNumberFormat="1" applyFont="1"/>
    <xf numFmtId="170" fontId="2" fillId="8" borderId="0" xfId="6" applyNumberFormat="1" applyFont="1" applyFill="1"/>
    <xf numFmtId="171" fontId="11" fillId="0" borderId="4" xfId="12" applyNumberFormat="1" applyFont="1" applyFill="1" applyBorder="1" applyAlignment="1">
      <alignment vertical="center" wrapText="1"/>
    </xf>
    <xf numFmtId="165" fontId="5" fillId="11" borderId="4" xfId="6" applyNumberFormat="1" applyFont="1" applyFill="1" applyBorder="1"/>
    <xf numFmtId="0" fontId="9" fillId="0" borderId="4" xfId="0" applyFont="1" applyBorder="1" applyAlignment="1">
      <alignment wrapText="1"/>
    </xf>
    <xf numFmtId="165" fontId="9" fillId="0" borderId="4" xfId="6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2" fillId="6" borderId="10" xfId="8" applyFont="1" applyFill="1" applyBorder="1"/>
    <xf numFmtId="3" fontId="2" fillId="6" borderId="11" xfId="8" applyNumberFormat="1" applyFont="1" applyFill="1" applyBorder="1"/>
    <xf numFmtId="0" fontId="2" fillId="6" borderId="4" xfId="8" quotePrefix="1" applyFont="1" applyFill="1" applyBorder="1" applyAlignment="1">
      <alignment horizontal="center" vertical="center" wrapText="1"/>
    </xf>
    <xf numFmtId="3" fontId="3" fillId="0" borderId="4" xfId="0" applyNumberFormat="1" applyFont="1" applyBorder="1"/>
    <xf numFmtId="3" fontId="3" fillId="11" borderId="0" xfId="8" applyNumberFormat="1" applyFont="1" applyFill="1" applyAlignment="1">
      <alignment horizontal="left" vertical="center" wrapText="1"/>
    </xf>
    <xf numFmtId="3" fontId="2" fillId="11" borderId="0" xfId="8" applyNumberFormat="1" applyFont="1" applyFill="1" applyAlignment="1">
      <alignment horizontal="left"/>
    </xf>
    <xf numFmtId="0" fontId="0" fillId="11" borderId="0" xfId="0" applyFill="1"/>
    <xf numFmtId="0" fontId="3" fillId="11" borderId="0" xfId="0" applyFont="1" applyFill="1"/>
    <xf numFmtId="9" fontId="4" fillId="11" borderId="0" xfId="0" applyNumberFormat="1" applyFont="1" applyFill="1" applyAlignment="1">
      <alignment horizontal="left"/>
    </xf>
    <xf numFmtId="0" fontId="8" fillId="6" borderId="2" xfId="8" applyFont="1" applyFill="1" applyBorder="1" applyAlignment="1">
      <alignment horizontal="left" vertical="center"/>
    </xf>
    <xf numFmtId="0" fontId="3" fillId="0" borderId="2" xfId="8" applyFont="1" applyBorder="1"/>
    <xf numFmtId="0" fontId="3" fillId="0" borderId="2" xfId="8" applyFont="1" applyBorder="1" applyAlignment="1">
      <alignment horizontal="left"/>
    </xf>
    <xf numFmtId="0" fontId="8" fillId="6" borderId="4" xfId="0" quotePrefix="1" applyFont="1" applyFill="1" applyBorder="1" applyAlignment="1">
      <alignment vertical="center" wrapText="1"/>
    </xf>
    <xf numFmtId="0" fontId="3" fillId="0" borderId="4" xfId="0" applyFont="1" applyBorder="1"/>
    <xf numFmtId="9" fontId="5" fillId="0" borderId="4" xfId="11" applyFont="1" applyBorder="1"/>
    <xf numFmtId="9" fontId="9" fillId="0" borderId="4" xfId="11" applyFont="1" applyBorder="1"/>
    <xf numFmtId="0" fontId="9" fillId="0" borderId="4" xfId="0" applyFont="1" applyBorder="1"/>
    <xf numFmtId="0" fontId="19" fillId="0" borderId="4" xfId="0" applyFont="1" applyBorder="1"/>
    <xf numFmtId="165" fontId="5" fillId="11" borderId="4" xfId="6" applyNumberFormat="1" applyFont="1" applyFill="1" applyBorder="1" applyAlignment="1">
      <alignment wrapText="1"/>
    </xf>
    <xf numFmtId="0" fontId="8" fillId="0" borderId="4" xfId="0" applyFont="1" applyBorder="1"/>
    <xf numFmtId="0" fontId="7" fillId="0" borderId="4" xfId="0" applyFont="1" applyBorder="1"/>
    <xf numFmtId="164" fontId="7" fillId="0" borderId="4" xfId="6" applyFont="1" applyBorder="1"/>
    <xf numFmtId="165" fontId="8" fillId="0" borderId="4" xfId="6" applyNumberFormat="1" applyFont="1" applyFill="1" applyBorder="1"/>
    <xf numFmtId="165" fontId="7" fillId="0" borderId="4" xfId="6" applyNumberFormat="1" applyFont="1" applyBorder="1"/>
    <xf numFmtId="165" fontId="8" fillId="0" borderId="4" xfId="6" applyNumberFormat="1" applyFont="1" applyBorder="1"/>
    <xf numFmtId="165" fontId="7" fillId="0" borderId="4" xfId="6" applyNumberFormat="1" applyFont="1" applyFill="1" applyBorder="1"/>
    <xf numFmtId="0" fontId="7" fillId="11" borderId="4" xfId="0" applyFont="1" applyFill="1" applyBorder="1"/>
    <xf numFmtId="164" fontId="7" fillId="11" borderId="4" xfId="6" applyFont="1" applyFill="1" applyBorder="1"/>
    <xf numFmtId="165" fontId="7" fillId="11" borderId="4" xfId="6" applyNumberFormat="1" applyFont="1" applyFill="1" applyBorder="1"/>
    <xf numFmtId="0" fontId="8" fillId="11" borderId="4" xfId="0" applyFont="1" applyFill="1" applyBorder="1"/>
    <xf numFmtId="165" fontId="8" fillId="11" borderId="4" xfId="6" applyNumberFormat="1" applyFont="1" applyFill="1" applyBorder="1"/>
    <xf numFmtId="0" fontId="18" fillId="0" borderId="4" xfId="6" applyNumberFormat="1" applyFont="1" applyFill="1" applyBorder="1" applyAlignment="1">
      <alignment horizontal="center"/>
    </xf>
    <xf numFmtId="0" fontId="7" fillId="0" borderId="12" xfId="0" applyFont="1" applyBorder="1"/>
    <xf numFmtId="169" fontId="7" fillId="0" borderId="0" xfId="0" applyNumberFormat="1" applyFont="1"/>
    <xf numFmtId="0" fontId="8" fillId="9" borderId="4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left" vertical="center" wrapText="1"/>
    </xf>
    <xf numFmtId="0" fontId="8" fillId="12" borderId="4" xfId="0" applyFont="1" applyFill="1" applyBorder="1" applyAlignment="1">
      <alignment horizontal="center" vertical="center" wrapText="1"/>
    </xf>
    <xf numFmtId="0" fontId="8" fillId="12" borderId="4" xfId="0" applyFont="1" applyFill="1" applyBorder="1"/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wrapText="1"/>
    </xf>
    <xf numFmtId="0" fontId="7" fillId="0" borderId="4" xfId="0" applyFont="1" applyBorder="1" applyAlignment="1">
      <alignment vertical="center" wrapText="1"/>
    </xf>
    <xf numFmtId="3" fontId="7" fillId="0" borderId="4" xfId="0" applyNumberFormat="1" applyFont="1" applyBorder="1" applyAlignment="1">
      <alignment horizontal="right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0" xfId="0" applyNumberFormat="1" applyFont="1"/>
    <xf numFmtId="3" fontId="8" fillId="9" borderId="4" xfId="0" applyNumberFormat="1" applyFont="1" applyFill="1" applyBorder="1" applyAlignment="1">
      <alignment horizontal="center" vertical="center" wrapText="1"/>
    </xf>
    <xf numFmtId="3" fontId="7" fillId="0" borderId="12" xfId="12" applyNumberFormat="1" applyFont="1" applyBorder="1"/>
    <xf numFmtId="3" fontId="7" fillId="0" borderId="4" xfId="12" applyNumberFormat="1" applyFont="1" applyBorder="1"/>
    <xf numFmtId="3" fontId="7" fillId="0" borderId="0" xfId="0" applyNumberFormat="1" applyFont="1" applyAlignment="1">
      <alignment horizontal="right"/>
    </xf>
    <xf numFmtId="0" fontId="8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left" wrapText="1"/>
    </xf>
    <xf numFmtId="3" fontId="8" fillId="0" borderId="4" xfId="0" applyNumberFormat="1" applyFont="1" applyBorder="1" applyAlignment="1">
      <alignment horizontal="right" wrapText="1"/>
    </xf>
    <xf numFmtId="3" fontId="8" fillId="0" borderId="0" xfId="0" applyNumberFormat="1" applyFont="1" applyAlignment="1">
      <alignment horizontal="right"/>
    </xf>
    <xf numFmtId="0" fontId="8" fillId="0" borderId="4" xfId="0" applyFont="1" applyBorder="1" applyAlignment="1">
      <alignment horizontal="left" vertical="center" wrapText="1"/>
    </xf>
    <xf numFmtId="0" fontId="8" fillId="5" borderId="4" xfId="0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left" wrapText="1"/>
    </xf>
    <xf numFmtId="3" fontId="8" fillId="5" borderId="4" xfId="0" applyNumberFormat="1" applyFont="1" applyFill="1" applyBorder="1" applyAlignment="1">
      <alignment horizontal="right" wrapText="1"/>
    </xf>
    <xf numFmtId="172" fontId="8" fillId="0" borderId="0" xfId="0" applyNumberFormat="1" applyFont="1"/>
    <xf numFmtId="0" fontId="8" fillId="0" borderId="0" xfId="0" applyFont="1" applyAlignment="1">
      <alignment horizontal="center"/>
    </xf>
    <xf numFmtId="3" fontId="0" fillId="0" borderId="4" xfId="0" applyNumberFormat="1" applyBorder="1" applyAlignment="1">
      <alignment horizontal="right"/>
    </xf>
    <xf numFmtId="3" fontId="0" fillId="0" borderId="8" xfId="0" applyNumberFormat="1" applyBorder="1"/>
    <xf numFmtId="3" fontId="0" fillId="0" borderId="4" xfId="0" applyNumberFormat="1" applyBorder="1"/>
    <xf numFmtId="3" fontId="9" fillId="0" borderId="4" xfId="6" applyNumberFormat="1" applyFont="1" applyFill="1" applyBorder="1" applyAlignment="1">
      <alignment horizontal="center" vertical="center" wrapText="1"/>
    </xf>
    <xf numFmtId="3" fontId="9" fillId="0" borderId="4" xfId="6" applyNumberFormat="1" applyFont="1" applyBorder="1" applyAlignment="1">
      <alignment wrapText="1"/>
    </xf>
    <xf numFmtId="3" fontId="5" fillId="3" borderId="4" xfId="6" applyNumberFormat="1" applyFont="1" applyFill="1" applyBorder="1" applyAlignment="1">
      <alignment wrapText="1"/>
    </xf>
    <xf numFmtId="3" fontId="5" fillId="11" borderId="4" xfId="6" applyNumberFormat="1" applyFont="1" applyFill="1" applyBorder="1" applyAlignment="1">
      <alignment wrapText="1"/>
    </xf>
    <xf numFmtId="3" fontId="9" fillId="0" borderId="4" xfId="6" applyNumberFormat="1" applyFont="1" applyFill="1" applyBorder="1" applyAlignment="1">
      <alignment wrapText="1"/>
    </xf>
    <xf numFmtId="3" fontId="5" fillId="0" borderId="0" xfId="6" applyNumberFormat="1" applyFont="1" applyBorder="1"/>
    <xf numFmtId="3" fontId="9" fillId="3" borderId="4" xfId="6" applyNumberFormat="1" applyFont="1" applyFill="1" applyBorder="1" applyAlignment="1">
      <alignment wrapText="1"/>
    </xf>
    <xf numFmtId="3" fontId="9" fillId="0" borderId="4" xfId="6" applyNumberFormat="1" applyFont="1" applyFill="1" applyBorder="1"/>
    <xf numFmtId="3" fontId="9" fillId="0" borderId="4" xfId="6" applyNumberFormat="1" applyFont="1" applyBorder="1"/>
    <xf numFmtId="3" fontId="19" fillId="3" borderId="4" xfId="6" applyNumberFormat="1" applyFont="1" applyFill="1" applyBorder="1" applyAlignment="1">
      <alignment wrapText="1"/>
    </xf>
    <xf numFmtId="3" fontId="0" fillId="0" borderId="8" xfId="0" applyNumberFormat="1" applyBorder="1" applyAlignment="1">
      <alignment horizontal="right"/>
    </xf>
    <xf numFmtId="165" fontId="14" fillId="0" borderId="4" xfId="12" applyNumberFormat="1" applyFont="1" applyFill="1" applyBorder="1" applyAlignment="1">
      <alignment horizontal="right" vertical="center" wrapText="1"/>
    </xf>
    <xf numFmtId="3" fontId="14" fillId="0" borderId="4" xfId="12" applyNumberFormat="1" applyFont="1" applyBorder="1" applyAlignment="1">
      <alignment vertical="center" wrapText="1"/>
    </xf>
    <xf numFmtId="3" fontId="11" fillId="0" borderId="4" xfId="12" applyNumberFormat="1" applyFont="1" applyFill="1" applyBorder="1" applyAlignment="1">
      <alignment vertical="center" wrapText="1"/>
    </xf>
    <xf numFmtId="3" fontId="3" fillId="11" borderId="0" xfId="0" applyNumberFormat="1" applyFont="1" applyFill="1"/>
    <xf numFmtId="3" fontId="2" fillId="11" borderId="0" xfId="0" applyNumberFormat="1" applyFont="1" applyFill="1"/>
    <xf numFmtId="0" fontId="10" fillId="0" borderId="7" xfId="0" applyFont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13" fillId="5" borderId="2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3" fillId="4" borderId="4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20" fillId="9" borderId="13" xfId="0" applyFont="1" applyFill="1" applyBorder="1" applyAlignment="1">
      <alignment horizontal="center" vertical="center" wrapText="1"/>
    </xf>
    <xf numFmtId="0" fontId="20" fillId="9" borderId="0" xfId="0" applyFont="1" applyFill="1" applyAlignment="1">
      <alignment horizontal="center" vertical="center" wrapText="1"/>
    </xf>
  </cellXfs>
  <cellStyles count="14">
    <cellStyle name="1000-sep (2 dec) 2" xfId="1" xr:uid="{00000000-0005-0000-0000-000000000000}"/>
    <cellStyle name="1000-sep (2 dec) 3" xfId="2" xr:uid="{00000000-0005-0000-0000-000001000000}"/>
    <cellStyle name="1000-sep (2 dec) 4" xfId="3" xr:uid="{00000000-0005-0000-0000-000002000000}"/>
    <cellStyle name="Bemærk! 2" xfId="4" xr:uid="{00000000-0005-0000-0000-000003000000}"/>
    <cellStyle name="Bemærk! 3" xfId="5" xr:uid="{00000000-0005-0000-0000-000004000000}"/>
    <cellStyle name="Komma" xfId="6" builtinId="3"/>
    <cellStyle name="Komma 2" xfId="12" xr:uid="{F6594E9F-42E8-408D-AB33-BD8B5ABA75D2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3" xr:uid="{C6E338B7-930A-4DB6-98C3-D2B0C29727EA}"/>
    <cellStyle name="Procent" xfId="1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B1:G22"/>
  <sheetViews>
    <sheetView showGridLines="0" zoomScale="110" zoomScaleNormal="110" workbookViewId="0">
      <selection activeCell="D8" sqref="D8"/>
    </sheetView>
  </sheetViews>
  <sheetFormatPr defaultColWidth="9.42578125" defaultRowHeight="15" x14ac:dyDescent="0.25"/>
  <cols>
    <col min="1" max="1" width="1.5703125" customWidth="1"/>
    <col min="2" max="2" width="6.140625" style="19" bestFit="1" customWidth="1"/>
    <col min="3" max="3" width="46" bestFit="1" customWidth="1"/>
    <col min="4" max="4" width="14.85546875" customWidth="1"/>
    <col min="5" max="6" width="12.85546875" bestFit="1" customWidth="1"/>
    <col min="7" max="7" width="12.85546875" style="2" bestFit="1" customWidth="1"/>
  </cols>
  <sheetData>
    <row r="1" spans="2:7" x14ac:dyDescent="0.25">
      <c r="B1" s="17" t="s">
        <v>0</v>
      </c>
      <c r="C1" s="6"/>
      <c r="D1" s="6"/>
      <c r="E1" s="6"/>
      <c r="F1" s="6"/>
    </row>
    <row r="2" spans="2:7" x14ac:dyDescent="0.25">
      <c r="B2" s="154">
        <v>1</v>
      </c>
      <c r="C2" s="15" t="s">
        <v>1</v>
      </c>
      <c r="D2" s="14" t="s">
        <v>2</v>
      </c>
      <c r="E2" s="14" t="s">
        <v>3</v>
      </c>
      <c r="F2" s="14" t="s">
        <v>4</v>
      </c>
      <c r="G2" s="14" t="s">
        <v>5</v>
      </c>
    </row>
    <row r="3" spans="2:7" x14ac:dyDescent="0.25">
      <c r="B3" s="154"/>
      <c r="C3" s="16" t="s">
        <v>6</v>
      </c>
      <c r="D3" s="148">
        <f>'CISU Note 1'!B7</f>
        <v>25639277.620000001</v>
      </c>
      <c r="E3" s="13">
        <v>23927000.18</v>
      </c>
      <c r="F3" s="13">
        <v>21331471.260000002</v>
      </c>
      <c r="G3" s="13">
        <v>19769918</v>
      </c>
    </row>
    <row r="4" spans="2:7" x14ac:dyDescent="0.25">
      <c r="B4" s="154"/>
      <c r="C4" s="16" t="s">
        <v>7</v>
      </c>
      <c r="D4" s="148">
        <f>'CISU Note 1'!B27</f>
        <v>25553980.370000001</v>
      </c>
      <c r="E4" s="13">
        <v>23899545.899999999</v>
      </c>
      <c r="F4" s="13">
        <v>21155219.780000001</v>
      </c>
      <c r="G4" s="13">
        <v>19738347</v>
      </c>
    </row>
    <row r="5" spans="2:7" x14ac:dyDescent="0.25">
      <c r="B5" s="154"/>
      <c r="C5" s="15" t="s">
        <v>8</v>
      </c>
      <c r="D5" s="12">
        <f>D3-D4</f>
        <v>85297.25</v>
      </c>
      <c r="E5" s="12">
        <f>E3-E4</f>
        <v>27454.280000001192</v>
      </c>
      <c r="F5" s="12">
        <f>F3-F4</f>
        <v>176251.48000000045</v>
      </c>
      <c r="G5" s="12">
        <f>G3-G4</f>
        <v>31571</v>
      </c>
    </row>
    <row r="6" spans="2:7" x14ac:dyDescent="0.25">
      <c r="B6" s="9"/>
      <c r="E6" s="2"/>
      <c r="F6" s="2"/>
    </row>
    <row r="7" spans="2:7" x14ac:dyDescent="0.25">
      <c r="B7" s="9"/>
      <c r="C7" s="15" t="s">
        <v>9</v>
      </c>
      <c r="D7" s="14" t="s">
        <v>2</v>
      </c>
      <c r="E7" s="14" t="s">
        <v>3</v>
      </c>
      <c r="F7" s="14" t="s">
        <v>4</v>
      </c>
      <c r="G7" s="14" t="s">
        <v>5</v>
      </c>
    </row>
    <row r="8" spans="2:7" x14ac:dyDescent="0.25">
      <c r="B8" s="18">
        <v>2</v>
      </c>
      <c r="C8" s="16" t="s">
        <v>10</v>
      </c>
      <c r="D8" s="135">
        <f>'CSP Note 2(A)'!G18</f>
        <v>254061902.34999999</v>
      </c>
      <c r="E8" s="11">
        <v>253766031.00999999</v>
      </c>
      <c r="F8" s="11">
        <v>224166648.56999996</v>
      </c>
      <c r="G8" s="11">
        <v>190821350.12000003</v>
      </c>
    </row>
    <row r="9" spans="2:7" x14ac:dyDescent="0.25">
      <c r="B9" s="19">
        <v>3</v>
      </c>
      <c r="C9" s="16" t="s">
        <v>11</v>
      </c>
      <c r="D9" s="59">
        <f>'DERF 2 Note 3'!E6</f>
        <v>25107348.050000001</v>
      </c>
      <c r="E9" s="59">
        <v>25087280.640000001</v>
      </c>
      <c r="F9" s="59">
        <v>32160125.559999999</v>
      </c>
      <c r="G9" s="11">
        <v>30095923.440000001</v>
      </c>
    </row>
    <row r="10" spans="2:7" x14ac:dyDescent="0.25">
      <c r="C10" s="16" t="s">
        <v>12</v>
      </c>
      <c r="D10" s="73"/>
      <c r="E10" s="73"/>
      <c r="F10" s="73"/>
      <c r="G10" s="11">
        <v>40778.410000000003</v>
      </c>
    </row>
    <row r="11" spans="2:7" x14ac:dyDescent="0.25">
      <c r="B11" s="18">
        <v>4</v>
      </c>
      <c r="C11" s="16" t="s">
        <v>13</v>
      </c>
      <c r="D11" s="135">
        <f>'OPEN Note 4'!E6</f>
        <v>25000157.029999997</v>
      </c>
      <c r="E11" s="59">
        <v>25063048.710000001</v>
      </c>
      <c r="F11" s="59">
        <v>25879911.579999998</v>
      </c>
      <c r="G11" s="11">
        <v>24056882.68</v>
      </c>
    </row>
    <row r="12" spans="2:7" x14ac:dyDescent="0.25">
      <c r="B12" s="18">
        <v>5</v>
      </c>
      <c r="C12" s="16" t="s">
        <v>14</v>
      </c>
      <c r="D12" s="135">
        <f>'CONN Note 5'!E16</f>
        <v>5316664.7911223266</v>
      </c>
      <c r="E12" s="59">
        <v>414373</v>
      </c>
      <c r="F12" s="73"/>
      <c r="G12" s="73"/>
    </row>
    <row r="13" spans="2:7" x14ac:dyDescent="0.25">
      <c r="B13" s="18"/>
      <c r="C13" s="15" t="s">
        <v>15</v>
      </c>
      <c r="D13" s="12">
        <f>SUM(D8:D12)</f>
        <v>309486072.22112226</v>
      </c>
      <c r="E13" s="12">
        <f>SUM(E8:E12)</f>
        <v>304330733.35999995</v>
      </c>
      <c r="F13" s="12">
        <f>SUM(F8:F12)</f>
        <v>282206685.70999998</v>
      </c>
      <c r="G13" s="12">
        <f>SUM(G8:G12)</f>
        <v>245014934.65000004</v>
      </c>
    </row>
    <row r="14" spans="2:7" x14ac:dyDescent="0.25">
      <c r="B14" s="18"/>
      <c r="G14"/>
    </row>
    <row r="15" spans="2:7" x14ac:dyDescent="0.25">
      <c r="B15" s="18"/>
      <c r="G15"/>
    </row>
    <row r="16" spans="2:7" x14ac:dyDescent="0.25">
      <c r="B16" s="18"/>
      <c r="G16"/>
    </row>
    <row r="17" spans="2:7" x14ac:dyDescent="0.25">
      <c r="B17" s="18"/>
      <c r="G17"/>
    </row>
    <row r="18" spans="2:7" x14ac:dyDescent="0.25">
      <c r="B18" s="18"/>
      <c r="G18"/>
    </row>
    <row r="19" spans="2:7" x14ac:dyDescent="0.25">
      <c r="B19" s="18"/>
      <c r="G19"/>
    </row>
    <row r="20" spans="2:7" x14ac:dyDescent="0.25">
      <c r="B20" s="18"/>
      <c r="G20"/>
    </row>
    <row r="21" spans="2:7" x14ac:dyDescent="0.25">
      <c r="G21" s="1"/>
    </row>
    <row r="22" spans="2:7" x14ac:dyDescent="0.25">
      <c r="C22" t="s">
        <v>16</v>
      </c>
    </row>
  </sheetData>
  <mergeCells count="1">
    <mergeCell ref="B2:B5"/>
  </mergeCells>
  <printOptions horizontalCentered="1"/>
  <pageMargins left="0.31496062992125984" right="0.35433070866141736" top="0.74803149606299213" bottom="0.74803149606299213" header="0.31496062992125984" footer="0.31496062992125984"/>
  <pageSetup paperSize="9" scale="96" orientation="portrait" verticalDpi="1200" r:id="rId1"/>
  <headerFooter>
    <oddHeader>&amp;C&amp;F&amp;R&amp;A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  <pageSetUpPr fitToPage="1"/>
  </sheetPr>
  <dimension ref="A1:J36"/>
  <sheetViews>
    <sheetView showGridLines="0" tabSelected="1" zoomScale="90" zoomScaleNormal="90" workbookViewId="0">
      <selection activeCell="J5" sqref="J5"/>
    </sheetView>
  </sheetViews>
  <sheetFormatPr defaultColWidth="8.5703125" defaultRowHeight="15" x14ac:dyDescent="0.25"/>
  <cols>
    <col min="1" max="1" width="37.85546875" style="4" customWidth="1"/>
    <col min="2" max="2" width="14.140625" style="60" customWidth="1"/>
    <col min="3" max="3" width="14" style="60" customWidth="1"/>
    <col min="4" max="4" width="1" style="4" customWidth="1"/>
    <col min="5" max="5" width="38" style="4" customWidth="1"/>
    <col min="6" max="6" width="16.5703125" style="60" customWidth="1"/>
    <col min="7" max="7" width="15.5703125" style="60" customWidth="1"/>
    <col min="8" max="8" width="8.5703125" style="4"/>
    <col min="9" max="9" width="9.5703125" style="4" bestFit="1" customWidth="1"/>
    <col min="10" max="10" width="10" style="4" bestFit="1" customWidth="1"/>
    <col min="11" max="16384" width="8.5703125" style="4"/>
  </cols>
  <sheetData>
    <row r="1" spans="1:10" s="5" customFormat="1" ht="15.75" x14ac:dyDescent="0.25">
      <c r="A1" s="96" t="s">
        <v>17</v>
      </c>
      <c r="B1" s="108">
        <v>2025</v>
      </c>
      <c r="C1" s="108">
        <v>2024</v>
      </c>
      <c r="E1" s="96" t="s">
        <v>18</v>
      </c>
      <c r="F1" s="108">
        <v>2025</v>
      </c>
      <c r="G1" s="108">
        <v>2024</v>
      </c>
    </row>
    <row r="2" spans="1:10" x14ac:dyDescent="0.25">
      <c r="A2" s="96" t="s">
        <v>19</v>
      </c>
      <c r="B2" s="99"/>
      <c r="C2" s="99"/>
      <c r="E2" s="96" t="s">
        <v>20</v>
      </c>
      <c r="F2" s="98"/>
      <c r="G2" s="98"/>
    </row>
    <row r="3" spans="1:10" x14ac:dyDescent="0.25">
      <c r="A3" s="97" t="s">
        <v>21</v>
      </c>
      <c r="B3" s="100">
        <v>1631666.39</v>
      </c>
      <c r="C3" s="100">
        <v>1948506.96</v>
      </c>
      <c r="E3" s="97" t="s">
        <v>22</v>
      </c>
      <c r="F3" s="100">
        <f>G5</f>
        <v>2728411.7600000016</v>
      </c>
      <c r="G3" s="102">
        <v>2700957.4800000004</v>
      </c>
    </row>
    <row r="4" spans="1:10" x14ac:dyDescent="0.25">
      <c r="A4" s="96" t="s">
        <v>23</v>
      </c>
      <c r="B4" s="99">
        <f>SUM(B3:B3)</f>
        <v>1631666.39</v>
      </c>
      <c r="C4" s="99">
        <f>SUM(C3:C3)</f>
        <v>1948506.96</v>
      </c>
      <c r="E4" s="97" t="s">
        <v>8</v>
      </c>
      <c r="F4" s="100">
        <v>85297.25</v>
      </c>
      <c r="G4" s="102">
        <v>27454.280000001192</v>
      </c>
      <c r="J4" s="7"/>
    </row>
    <row r="5" spans="1:10" x14ac:dyDescent="0.25">
      <c r="A5" s="103"/>
      <c r="B5" s="104"/>
      <c r="C5" s="105"/>
      <c r="E5" s="96" t="s">
        <v>24</v>
      </c>
      <c r="F5" s="101">
        <f>SUM(F3:F4)</f>
        <v>2813709.0100000016</v>
      </c>
      <c r="G5" s="101">
        <f>SUM(G3:G4)</f>
        <v>2728411.7600000016</v>
      </c>
    </row>
    <row r="6" spans="1:10" x14ac:dyDescent="0.25">
      <c r="A6" s="96" t="s">
        <v>25</v>
      </c>
      <c r="B6" s="98"/>
      <c r="C6" s="100"/>
      <c r="E6" s="103"/>
      <c r="F6" s="104"/>
      <c r="G6" s="105"/>
    </row>
    <row r="7" spans="1:10" x14ac:dyDescent="0.25">
      <c r="A7" s="96" t="s">
        <v>26</v>
      </c>
      <c r="B7" s="98"/>
      <c r="C7" s="100"/>
      <c r="E7" s="96" t="s">
        <v>27</v>
      </c>
      <c r="F7" s="98"/>
      <c r="G7" s="100"/>
    </row>
    <row r="8" spans="1:10" x14ac:dyDescent="0.25">
      <c r="A8" s="97" t="s">
        <v>28</v>
      </c>
      <c r="B8" s="100">
        <v>4155.2</v>
      </c>
      <c r="C8" s="100">
        <v>700</v>
      </c>
      <c r="E8" s="97" t="s">
        <v>29</v>
      </c>
      <c r="F8" s="100">
        <v>1903071.02</v>
      </c>
      <c r="G8" s="100">
        <f>46143259+3976305</f>
        <v>50119564</v>
      </c>
    </row>
    <row r="9" spans="1:10" x14ac:dyDescent="0.25">
      <c r="A9" s="97" t="s">
        <v>30</v>
      </c>
      <c r="B9" s="100">
        <v>6983263.4582636394</v>
      </c>
      <c r="C9" s="100">
        <v>7164676.7420376716</v>
      </c>
      <c r="E9" s="97" t="s">
        <v>31</v>
      </c>
      <c r="F9" s="100">
        <v>35419920.43</v>
      </c>
      <c r="G9" s="100">
        <v>14744139.900401194</v>
      </c>
    </row>
    <row r="10" spans="1:10" x14ac:dyDescent="0.25">
      <c r="A10" s="97" t="s">
        <v>32</v>
      </c>
      <c r="B10" s="100">
        <v>286508.03000000003</v>
      </c>
      <c r="C10" s="100">
        <v>286508.03000000003</v>
      </c>
      <c r="E10" s="96" t="s">
        <v>33</v>
      </c>
      <c r="F10" s="101">
        <f>SUM(F8:F9)</f>
        <v>37322991.450000003</v>
      </c>
      <c r="G10" s="101">
        <f>SUM(G8:G9)</f>
        <v>64863703.90040119</v>
      </c>
    </row>
    <row r="11" spans="1:10" x14ac:dyDescent="0.25">
      <c r="A11" s="97" t="s">
        <v>34</v>
      </c>
      <c r="B11" s="100">
        <v>273350.63999999966</v>
      </c>
      <c r="C11" s="100">
        <v>262171.49</v>
      </c>
      <c r="E11" s="103"/>
      <c r="F11" s="104"/>
      <c r="G11" s="105"/>
    </row>
    <row r="12" spans="1:10" x14ac:dyDescent="0.25">
      <c r="A12" s="96" t="s">
        <v>35</v>
      </c>
      <c r="B12" s="101">
        <f>SUM(B8:B11)</f>
        <v>7547277.3282636395</v>
      </c>
      <c r="C12" s="101">
        <f>SUM(C8:C11)</f>
        <v>7714056.2620376721</v>
      </c>
      <c r="E12" s="96" t="s">
        <v>36</v>
      </c>
      <c r="F12" s="98"/>
      <c r="G12" s="100"/>
    </row>
    <row r="13" spans="1:10" x14ac:dyDescent="0.25">
      <c r="A13" s="103"/>
      <c r="B13" s="104"/>
      <c r="C13" s="105"/>
      <c r="E13" s="96" t="s">
        <v>37</v>
      </c>
      <c r="F13" s="98"/>
      <c r="G13" s="100"/>
    </row>
    <row r="14" spans="1:10" x14ac:dyDescent="0.25">
      <c r="A14" s="96" t="s">
        <v>38</v>
      </c>
      <c r="B14" s="98"/>
      <c r="C14" s="100"/>
      <c r="E14" s="97" t="s">
        <v>39</v>
      </c>
      <c r="F14" s="100">
        <v>188687985.25</v>
      </c>
      <c r="G14" s="100">
        <v>164941083.41999999</v>
      </c>
    </row>
    <row r="15" spans="1:10" x14ac:dyDescent="0.25">
      <c r="A15" s="97" t="s">
        <v>40</v>
      </c>
      <c r="B15" s="100">
        <v>220432109.87</v>
      </c>
      <c r="C15" s="100">
        <v>222141995.38</v>
      </c>
      <c r="E15" s="97" t="s">
        <v>41</v>
      </c>
      <c r="F15" s="100">
        <v>101624</v>
      </c>
      <c r="G15" s="100">
        <v>1976760</v>
      </c>
    </row>
    <row r="16" spans="1:10" x14ac:dyDescent="0.25">
      <c r="A16" s="97" t="s">
        <v>42</v>
      </c>
      <c r="B16" s="100">
        <v>0</v>
      </c>
      <c r="C16" s="100">
        <v>0</v>
      </c>
      <c r="E16" s="97" t="s">
        <v>43</v>
      </c>
      <c r="F16" s="100">
        <v>15894615</v>
      </c>
      <c r="G16" s="100">
        <v>15384623</v>
      </c>
    </row>
    <row r="17" spans="1:9" x14ac:dyDescent="0.25">
      <c r="A17" s="97" t="s">
        <v>44</v>
      </c>
      <c r="B17" s="100">
        <v>1645604.36</v>
      </c>
      <c r="C17" s="100">
        <v>2113196.06</v>
      </c>
      <c r="E17" s="97" t="s">
        <v>45</v>
      </c>
      <c r="F17" s="100">
        <v>772083.86411371361</v>
      </c>
      <c r="G17" s="105"/>
    </row>
    <row r="18" spans="1:9" x14ac:dyDescent="0.25">
      <c r="A18" s="97" t="s">
        <v>13</v>
      </c>
      <c r="B18" s="100">
        <v>13514073.58</v>
      </c>
      <c r="C18" s="100">
        <v>13476485.109999999</v>
      </c>
      <c r="E18" s="96" t="s">
        <v>46</v>
      </c>
      <c r="F18" s="101">
        <f>SUM(F14:F17)</f>
        <v>205456308.11411372</v>
      </c>
      <c r="G18" s="101">
        <f>SUM(G14:G17)</f>
        <v>182302466.41999999</v>
      </c>
    </row>
    <row r="19" spans="1:9" x14ac:dyDescent="0.25">
      <c r="A19" s="97" t="s">
        <v>14</v>
      </c>
      <c r="B19" s="100">
        <v>3410341.8263363424</v>
      </c>
      <c r="C19" s="100">
        <v>3636804.6229061657</v>
      </c>
      <c r="E19" s="103"/>
      <c r="F19" s="104"/>
      <c r="G19" s="105"/>
    </row>
    <row r="20" spans="1:9" x14ac:dyDescent="0.25">
      <c r="A20" s="97" t="s">
        <v>47</v>
      </c>
      <c r="B20" s="100">
        <v>2292327.9</v>
      </c>
      <c r="C20" s="100">
        <v>2088587.15</v>
      </c>
      <c r="E20" s="97" t="s">
        <v>48</v>
      </c>
      <c r="F20" s="100">
        <v>1516369.37</v>
      </c>
      <c r="G20" s="100">
        <v>2007797.78</v>
      </c>
    </row>
    <row r="21" spans="1:9" x14ac:dyDescent="0.25">
      <c r="A21" s="96" t="s">
        <v>49</v>
      </c>
      <c r="B21" s="101">
        <f>SUM(B15:B20)</f>
        <v>241294457.53633639</v>
      </c>
      <c r="C21" s="101">
        <f>SUM(C15:C20)</f>
        <v>243457068.3229062</v>
      </c>
      <c r="E21" s="97" t="s">
        <v>50</v>
      </c>
      <c r="F21" s="100">
        <v>3364022.8604862671</v>
      </c>
      <c r="G21" s="100">
        <f>1217250.65+1.44</f>
        <v>1217252.0899999999</v>
      </c>
    </row>
    <row r="22" spans="1:9" x14ac:dyDescent="0.25">
      <c r="A22" s="106"/>
      <c r="B22" s="107"/>
      <c r="C22" s="107"/>
      <c r="E22" s="103"/>
      <c r="F22" s="105"/>
      <c r="G22" s="105"/>
    </row>
    <row r="23" spans="1:9" x14ac:dyDescent="0.25">
      <c r="A23" s="96" t="s">
        <v>51</v>
      </c>
      <c r="B23" s="101">
        <f>B12+B21</f>
        <v>248841734.86460003</v>
      </c>
      <c r="C23" s="101">
        <f>C12+C21</f>
        <v>251171124.58494386</v>
      </c>
      <c r="E23" s="96" t="s">
        <v>52</v>
      </c>
      <c r="F23" s="99">
        <f>F18+F20+F21</f>
        <v>210336700.34459999</v>
      </c>
      <c r="G23" s="99">
        <f>G18+G20+G21</f>
        <v>185527516.28999999</v>
      </c>
      <c r="I23" s="7"/>
    </row>
    <row r="24" spans="1:9" x14ac:dyDescent="0.25">
      <c r="A24" s="103"/>
      <c r="B24" s="104"/>
      <c r="C24" s="105"/>
      <c r="E24" s="103"/>
      <c r="F24" s="104"/>
      <c r="G24" s="105"/>
    </row>
    <row r="25" spans="1:9" x14ac:dyDescent="0.25">
      <c r="A25" s="96" t="s">
        <v>17</v>
      </c>
      <c r="B25" s="101">
        <f>B4+B23</f>
        <v>250473401.25460002</v>
      </c>
      <c r="C25" s="101">
        <f>C4+C23</f>
        <v>253119631.54494387</v>
      </c>
      <c r="E25" s="96" t="s">
        <v>18</v>
      </c>
      <c r="F25" s="101">
        <f>F5+F10+F23</f>
        <v>250473400.8046</v>
      </c>
      <c r="G25" s="101">
        <f>G5+G10+G23</f>
        <v>253119631.95040119</v>
      </c>
    </row>
    <row r="27" spans="1:9" x14ac:dyDescent="0.25">
      <c r="A27" s="5"/>
    </row>
    <row r="28" spans="1:9" x14ac:dyDescent="0.25">
      <c r="A28" s="5"/>
      <c r="F28"/>
      <c r="G28"/>
      <c r="H28"/>
    </row>
    <row r="29" spans="1:9" x14ac:dyDescent="0.25">
      <c r="A29" s="5"/>
      <c r="F29"/>
      <c r="G29"/>
      <c r="H29"/>
    </row>
    <row r="30" spans="1:9" x14ac:dyDescent="0.25">
      <c r="F30"/>
      <c r="G30"/>
      <c r="H30"/>
    </row>
    <row r="36" spans="7:7" x14ac:dyDescent="0.25">
      <c r="G36" s="61"/>
    </row>
  </sheetData>
  <printOptions horizontalCentered="1"/>
  <pageMargins left="0.23622047244094491" right="0.31496062992125984" top="0.74803149606299213" bottom="0.74803149606299213" header="0.31496062992125984" footer="0.31496062992125984"/>
  <pageSetup paperSize="9" orientation="landscape" r:id="rId1"/>
  <headerFooter>
    <oddHeader>&amp;C&amp;F&amp;R&amp;A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/>
    <pageSetUpPr fitToPage="1"/>
  </sheetPr>
  <dimension ref="A1:J30"/>
  <sheetViews>
    <sheetView showGridLines="0" zoomScale="115" zoomScaleNormal="115" workbookViewId="0">
      <pane ySplit="1" topLeftCell="A2" activePane="bottomLeft" state="frozen"/>
      <selection activeCell="D32" sqref="D32"/>
      <selection pane="bottomLeft" activeCell="K11" sqref="K11"/>
    </sheetView>
  </sheetViews>
  <sheetFormatPr defaultColWidth="9.42578125" defaultRowHeight="15" x14ac:dyDescent="0.25"/>
  <cols>
    <col min="1" max="1" width="47.5703125" customWidth="1"/>
    <col min="2" max="2" width="12.42578125" style="30" bestFit="1" customWidth="1"/>
    <col min="3" max="3" width="14.5703125" style="33" customWidth="1"/>
    <col min="4" max="4" width="15.42578125" style="30" customWidth="1"/>
    <col min="5" max="5" width="12.42578125" style="30" bestFit="1" customWidth="1"/>
    <col min="6" max="6" width="11.5703125" bestFit="1" customWidth="1"/>
    <col min="7" max="7" width="9.42578125" bestFit="1" customWidth="1"/>
    <col min="8" max="10" width="12" bestFit="1" customWidth="1"/>
  </cols>
  <sheetData>
    <row r="1" spans="1:10" ht="30" x14ac:dyDescent="0.25">
      <c r="A1" s="76" t="s">
        <v>53</v>
      </c>
      <c r="B1" s="138" t="s">
        <v>54</v>
      </c>
      <c r="C1" s="138" t="s">
        <v>55</v>
      </c>
      <c r="D1" s="138" t="s">
        <v>56</v>
      </c>
      <c r="E1" s="138" t="s">
        <v>57</v>
      </c>
      <c r="F1" s="75" t="s">
        <v>58</v>
      </c>
    </row>
    <row r="2" spans="1:10" x14ac:dyDescent="0.25">
      <c r="A2" s="74" t="s">
        <v>6</v>
      </c>
      <c r="B2" s="139"/>
      <c r="C2" s="139"/>
      <c r="D2" s="139"/>
      <c r="E2" s="139"/>
      <c r="F2" s="10"/>
    </row>
    <row r="3" spans="1:10" x14ac:dyDescent="0.25">
      <c r="A3" s="10" t="s">
        <v>59</v>
      </c>
      <c r="B3" s="140">
        <v>514900</v>
      </c>
      <c r="C3" s="136">
        <v>490000</v>
      </c>
      <c r="D3" s="136">
        <v>490000</v>
      </c>
      <c r="E3" s="140">
        <v>509000</v>
      </c>
      <c r="F3" s="91">
        <f>B3/C3</f>
        <v>1.0508163265306123</v>
      </c>
    </row>
    <row r="4" spans="1:10" x14ac:dyDescent="0.25">
      <c r="A4" s="10" t="s">
        <v>60</v>
      </c>
      <c r="B4" s="140">
        <v>229308</v>
      </c>
      <c r="C4" s="136">
        <v>55000</v>
      </c>
      <c r="D4" s="136">
        <v>55000</v>
      </c>
      <c r="E4" s="140">
        <v>224701</v>
      </c>
      <c r="F4" s="91">
        <f>B4/C4</f>
        <v>4.1692363636363634</v>
      </c>
    </row>
    <row r="5" spans="1:10" x14ac:dyDescent="0.25">
      <c r="A5" s="10" t="s">
        <v>61</v>
      </c>
      <c r="B5" s="140">
        <v>24838669.620000001</v>
      </c>
      <c r="C5" s="140">
        <v>26971576</v>
      </c>
      <c r="D5" s="140">
        <v>25998000</v>
      </c>
      <c r="E5" s="140">
        <v>23090479.18</v>
      </c>
      <c r="F5" s="91">
        <f>B5/C5</f>
        <v>0.92092021689796699</v>
      </c>
      <c r="J5" s="3"/>
    </row>
    <row r="6" spans="1:10" x14ac:dyDescent="0.25">
      <c r="A6" s="10" t="s">
        <v>62</v>
      </c>
      <c r="B6" s="140">
        <v>56400</v>
      </c>
      <c r="C6" s="140">
        <v>0</v>
      </c>
      <c r="D6" s="140">
        <v>0</v>
      </c>
      <c r="E6" s="140">
        <v>102820</v>
      </c>
      <c r="F6" s="91"/>
    </row>
    <row r="7" spans="1:10" x14ac:dyDescent="0.25">
      <c r="A7" s="74" t="s">
        <v>63</v>
      </c>
      <c r="B7" s="142">
        <f>SUM(B3:B6)</f>
        <v>25639277.620000001</v>
      </c>
      <c r="C7" s="142">
        <f>SUM(C3:C6)</f>
        <v>27516576</v>
      </c>
      <c r="D7" s="142">
        <f>SUM(D3:D6)</f>
        <v>26543000</v>
      </c>
      <c r="E7" s="142">
        <f>SUM(E3:E6)</f>
        <v>23927000.18</v>
      </c>
      <c r="F7" s="92">
        <f>B7/C7</f>
        <v>0.93177572747423232</v>
      </c>
      <c r="G7" s="3"/>
    </row>
    <row r="8" spans="1:10" x14ac:dyDescent="0.25">
      <c r="B8" s="33"/>
      <c r="D8" s="143"/>
      <c r="E8" s="33"/>
      <c r="F8" s="8"/>
    </row>
    <row r="9" spans="1:10" x14ac:dyDescent="0.25">
      <c r="A9" s="74" t="s">
        <v>7</v>
      </c>
      <c r="B9" s="142"/>
      <c r="C9" s="139"/>
      <c r="D9" s="139"/>
      <c r="E9" s="142"/>
      <c r="F9" s="10"/>
    </row>
    <row r="10" spans="1:10" x14ac:dyDescent="0.25">
      <c r="A10" s="93" t="s">
        <v>64</v>
      </c>
      <c r="B10" s="144">
        <v>21799467.23</v>
      </c>
      <c r="C10" s="144">
        <v>23514122</v>
      </c>
      <c r="D10" s="144">
        <v>22740000</v>
      </c>
      <c r="E10" s="144">
        <v>19807778.43</v>
      </c>
      <c r="F10" s="92">
        <f>B10/C10</f>
        <v>0.92707978762719701</v>
      </c>
      <c r="G10" s="3"/>
    </row>
    <row r="11" spans="1:10" x14ac:dyDescent="0.25">
      <c r="A11" s="93" t="s">
        <v>65</v>
      </c>
      <c r="B11" s="142"/>
      <c r="C11" s="142"/>
      <c r="D11" s="142"/>
      <c r="E11" s="142"/>
      <c r="F11" s="10"/>
    </row>
    <row r="12" spans="1:10" x14ac:dyDescent="0.25">
      <c r="A12" s="10" t="s">
        <v>66</v>
      </c>
      <c r="B12" s="140">
        <v>100000</v>
      </c>
      <c r="C12" s="140">
        <v>100000</v>
      </c>
      <c r="D12" s="140">
        <v>100000</v>
      </c>
      <c r="E12" s="140">
        <v>100000</v>
      </c>
      <c r="F12" s="91">
        <f t="shared" ref="F12:F18" si="0">B12/C12</f>
        <v>1</v>
      </c>
    </row>
    <row r="13" spans="1:10" x14ac:dyDescent="0.25">
      <c r="A13" s="10" t="s">
        <v>67</v>
      </c>
      <c r="B13" s="140">
        <v>220000</v>
      </c>
      <c r="C13" s="140">
        <v>220000</v>
      </c>
      <c r="D13" s="140">
        <v>220000</v>
      </c>
      <c r="E13" s="140">
        <v>220000</v>
      </c>
      <c r="F13" s="91">
        <f t="shared" si="0"/>
        <v>1</v>
      </c>
    </row>
    <row r="14" spans="1:10" x14ac:dyDescent="0.25">
      <c r="A14" s="10" t="s">
        <v>68</v>
      </c>
      <c r="B14" s="140">
        <v>58592.74</v>
      </c>
      <c r="C14" s="140">
        <v>85000</v>
      </c>
      <c r="D14" s="140">
        <v>85000</v>
      </c>
      <c r="E14" s="140">
        <f>80844.13+8524</f>
        <v>89368.13</v>
      </c>
      <c r="F14" s="91">
        <f t="shared" si="0"/>
        <v>0.6893263529411765</v>
      </c>
      <c r="H14" s="33"/>
    </row>
    <row r="15" spans="1:10" x14ac:dyDescent="0.25">
      <c r="A15" s="94" t="s">
        <v>69</v>
      </c>
      <c r="B15" s="147">
        <v>0</v>
      </c>
      <c r="C15" s="140">
        <v>27454</v>
      </c>
      <c r="D15" s="140">
        <v>0</v>
      </c>
      <c r="E15" s="140">
        <v>139999.54999999999</v>
      </c>
      <c r="F15" s="91">
        <f t="shared" si="0"/>
        <v>0</v>
      </c>
      <c r="H15" s="33"/>
    </row>
    <row r="16" spans="1:10" x14ac:dyDescent="0.25">
      <c r="A16" s="94" t="s">
        <v>70</v>
      </c>
      <c r="B16" s="141"/>
      <c r="C16" s="141"/>
      <c r="D16" s="141"/>
      <c r="E16" s="141"/>
      <c r="F16" s="95"/>
    </row>
    <row r="17" spans="1:9" x14ac:dyDescent="0.25">
      <c r="A17" s="10" t="s">
        <v>71</v>
      </c>
      <c r="B17" s="140">
        <v>125000</v>
      </c>
      <c r="C17" s="140">
        <v>125000</v>
      </c>
      <c r="D17" s="140">
        <v>125000</v>
      </c>
      <c r="E17" s="140">
        <v>132614.75</v>
      </c>
      <c r="F17" s="91">
        <f t="shared" si="0"/>
        <v>1</v>
      </c>
    </row>
    <row r="18" spans="1:9" x14ac:dyDescent="0.25">
      <c r="A18" s="10" t="s">
        <v>72</v>
      </c>
      <c r="B18" s="140">
        <v>35374.07</v>
      </c>
      <c r="C18" s="140">
        <v>45000</v>
      </c>
      <c r="D18" s="140">
        <v>45000</v>
      </c>
      <c r="E18" s="140">
        <v>43018</v>
      </c>
      <c r="F18" s="91">
        <f t="shared" si="0"/>
        <v>0.78609044444444443</v>
      </c>
    </row>
    <row r="19" spans="1:9" x14ac:dyDescent="0.25">
      <c r="A19" s="93" t="s">
        <v>73</v>
      </c>
      <c r="B19" s="145">
        <f>SUM(B12:B18)</f>
        <v>538966.80999999994</v>
      </c>
      <c r="C19" s="145">
        <f t="shared" ref="C19:D19" si="1">SUM(C12:C18)</f>
        <v>602454</v>
      </c>
      <c r="D19" s="145">
        <f t="shared" si="1"/>
        <v>575000</v>
      </c>
      <c r="E19" s="145">
        <f>SUM(E12:E18)</f>
        <v>725000.42999999993</v>
      </c>
      <c r="F19" s="92">
        <f>B19/C19</f>
        <v>0.89461902485500955</v>
      </c>
      <c r="G19" s="3"/>
    </row>
    <row r="20" spans="1:9" x14ac:dyDescent="0.25">
      <c r="A20" s="93" t="s">
        <v>74</v>
      </c>
      <c r="B20" s="144">
        <v>2897819.94</v>
      </c>
      <c r="C20" s="144">
        <v>3005000</v>
      </c>
      <c r="D20" s="144">
        <v>2863000</v>
      </c>
      <c r="E20" s="144">
        <v>3010474.2</v>
      </c>
      <c r="F20" s="92">
        <f>B20/C20</f>
        <v>0.96433275873544089</v>
      </c>
      <c r="G20" s="3"/>
    </row>
    <row r="21" spans="1:9" x14ac:dyDescent="0.25">
      <c r="A21" s="93" t="s">
        <v>75</v>
      </c>
      <c r="B21" s="144"/>
      <c r="C21" s="144"/>
      <c r="D21" s="144"/>
      <c r="E21" s="144"/>
      <c r="F21" s="91"/>
    </row>
    <row r="22" spans="1:9" x14ac:dyDescent="0.25">
      <c r="A22" s="10" t="s">
        <v>76</v>
      </c>
      <c r="B22" s="140">
        <v>107199.4</v>
      </c>
      <c r="C22" s="137">
        <v>145000</v>
      </c>
      <c r="D22" s="137">
        <v>145000</v>
      </c>
      <c r="E22" s="140">
        <v>153181.79999999999</v>
      </c>
      <c r="F22" s="91">
        <f t="shared" ref="F22:F25" si="2">B22/C22</f>
        <v>0.73930620689655169</v>
      </c>
    </row>
    <row r="23" spans="1:9" x14ac:dyDescent="0.25">
      <c r="A23" s="10" t="s">
        <v>77</v>
      </c>
      <c r="B23" s="140">
        <v>190526.99</v>
      </c>
      <c r="C23" s="140">
        <v>200000</v>
      </c>
      <c r="D23" s="140">
        <v>200000</v>
      </c>
      <c r="E23" s="140">
        <v>182741.04</v>
      </c>
      <c r="F23" s="91">
        <f t="shared" si="2"/>
        <v>0.95263494999999998</v>
      </c>
    </row>
    <row r="24" spans="1:9" x14ac:dyDescent="0.25">
      <c r="A24" s="10" t="s">
        <v>78</v>
      </c>
      <c r="B24" s="140">
        <v>0</v>
      </c>
      <c r="C24" s="140">
        <v>0</v>
      </c>
      <c r="D24" s="140">
        <v>0</v>
      </c>
      <c r="E24" s="140">
        <v>370</v>
      </c>
      <c r="F24" s="91"/>
    </row>
    <row r="25" spans="1:9" x14ac:dyDescent="0.25">
      <c r="A25" s="10" t="s">
        <v>79</v>
      </c>
      <c r="B25" s="140">
        <v>20000</v>
      </c>
      <c r="C25" s="140">
        <v>20000</v>
      </c>
      <c r="D25" s="140">
        <v>20000</v>
      </c>
      <c r="E25" s="140">
        <v>20000</v>
      </c>
      <c r="F25" s="91">
        <f t="shared" si="2"/>
        <v>1</v>
      </c>
    </row>
    <row r="26" spans="1:9" x14ac:dyDescent="0.25">
      <c r="A26" s="93" t="s">
        <v>80</v>
      </c>
      <c r="B26" s="144">
        <f>SUM(B22:B25)</f>
        <v>317726.39</v>
      </c>
      <c r="C26" s="144">
        <f>SUM(C22:C25)</f>
        <v>365000</v>
      </c>
      <c r="D26" s="144">
        <f>SUM(D22:D25)</f>
        <v>365000</v>
      </c>
      <c r="E26" s="144">
        <f>SUM(E22:E25)</f>
        <v>356292.83999999997</v>
      </c>
      <c r="F26" s="92">
        <f>B26/C26</f>
        <v>0.8704832602739726</v>
      </c>
    </row>
    <row r="27" spans="1:9" x14ac:dyDescent="0.25">
      <c r="A27" s="74" t="s">
        <v>81</v>
      </c>
      <c r="B27" s="145">
        <f>B10+B19+B20+B26</f>
        <v>25553980.370000001</v>
      </c>
      <c r="C27" s="145">
        <f>C10+C19+C20+C26</f>
        <v>27486576</v>
      </c>
      <c r="D27" s="145">
        <f>D10+D19+D20+D26</f>
        <v>26543000</v>
      </c>
      <c r="E27" s="145">
        <f>E10+E19+E20+E26</f>
        <v>23899545.899999999</v>
      </c>
      <c r="F27" s="92">
        <f>B27/C27</f>
        <v>0.92968947350881392</v>
      </c>
      <c r="I27" s="3"/>
    </row>
    <row r="28" spans="1:9" x14ac:dyDescent="0.25">
      <c r="B28" s="33"/>
      <c r="D28" s="143"/>
      <c r="E28" s="33"/>
      <c r="F28" s="8"/>
    </row>
    <row r="29" spans="1:9" x14ac:dyDescent="0.25">
      <c r="A29" s="93" t="s">
        <v>82</v>
      </c>
      <c r="B29" s="146">
        <f>B7-B27</f>
        <v>85297.25</v>
      </c>
      <c r="C29" s="146">
        <f>C7-C27</f>
        <v>30000</v>
      </c>
      <c r="D29" s="146">
        <f>D7-D27</f>
        <v>0</v>
      </c>
      <c r="E29" s="146">
        <f>E7-E27</f>
        <v>27454.280000001192</v>
      </c>
      <c r="F29" s="91"/>
      <c r="G29" s="3"/>
    </row>
    <row r="30" spans="1:9" x14ac:dyDescent="0.25">
      <c r="A30" s="9"/>
      <c r="C30" s="30"/>
    </row>
  </sheetData>
  <printOptions horizontalCentered="1"/>
  <pageMargins left="0.43307086614173229" right="0.55118110236220474" top="0.74803149606299213" bottom="0.74803149606299213" header="0.31496062992125984" footer="0.31496062992125984"/>
  <pageSetup paperSize="9" orientation="landscape" verticalDpi="1200" r:id="rId1"/>
  <headerFooter>
    <oddHeader>&amp;C&amp;F&amp;R&amp;A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/>
    <pageSetUpPr fitToPage="1"/>
  </sheetPr>
  <dimension ref="B3:G20"/>
  <sheetViews>
    <sheetView topLeftCell="A7" zoomScale="115" zoomScaleNormal="115" workbookViewId="0">
      <selection activeCell="C11" sqref="C11:G17"/>
    </sheetView>
  </sheetViews>
  <sheetFormatPr defaultColWidth="11.5703125" defaultRowHeight="15" x14ac:dyDescent="0.25"/>
  <cols>
    <col min="1" max="1" width="2.85546875" customWidth="1"/>
    <col min="2" max="2" width="53.42578125" customWidth="1"/>
    <col min="3" max="3" width="16.5703125" customWidth="1"/>
    <col min="4" max="4" width="2.140625" customWidth="1"/>
    <col min="5" max="5" width="16.85546875" bestFit="1" customWidth="1"/>
    <col min="6" max="6" width="2.5703125" customWidth="1"/>
    <col min="7" max="7" width="15.42578125" bestFit="1" customWidth="1"/>
    <col min="8" max="8" width="12.5703125" customWidth="1"/>
    <col min="9" max="9" width="17.42578125" customWidth="1"/>
    <col min="10" max="10" width="16.140625" customWidth="1"/>
    <col min="11" max="11" width="15.42578125" customWidth="1"/>
    <col min="13" max="13" width="1.5703125" customWidth="1"/>
    <col min="14" max="14" width="13.42578125" customWidth="1"/>
    <col min="15" max="15" width="14.42578125" customWidth="1"/>
    <col min="16" max="16" width="17.5703125" bestFit="1" customWidth="1"/>
    <col min="17" max="17" width="17.42578125" bestFit="1" customWidth="1"/>
    <col min="18" max="18" width="16.42578125" bestFit="1" customWidth="1"/>
    <col min="19" max="19" width="18.42578125" bestFit="1" customWidth="1"/>
    <col min="21" max="21" width="13.85546875" customWidth="1"/>
  </cols>
  <sheetData>
    <row r="3" spans="2:7" ht="30" x14ac:dyDescent="0.25">
      <c r="B3" s="86" t="s">
        <v>83</v>
      </c>
      <c r="C3" s="79" t="s">
        <v>84</v>
      </c>
      <c r="D3" s="81"/>
      <c r="E3" s="79" t="s">
        <v>85</v>
      </c>
      <c r="F3" s="81"/>
      <c r="G3" s="79" t="s">
        <v>86</v>
      </c>
    </row>
    <row r="4" spans="2:7" x14ac:dyDescent="0.25">
      <c r="B4" s="87" t="s">
        <v>87</v>
      </c>
      <c r="C4" s="80">
        <v>225770</v>
      </c>
      <c r="D4" s="84"/>
      <c r="E4" s="80">
        <v>275770</v>
      </c>
      <c r="F4" s="84"/>
      <c r="G4" s="80">
        <v>1330719.6599999999</v>
      </c>
    </row>
    <row r="5" spans="2:7" ht="14.45" customHeight="1" x14ac:dyDescent="0.25">
      <c r="B5" s="87" t="s">
        <v>88</v>
      </c>
      <c r="C5" s="80">
        <v>1760000</v>
      </c>
      <c r="D5" s="84"/>
      <c r="E5" s="80">
        <v>26532045</v>
      </c>
      <c r="F5" s="84"/>
      <c r="G5" s="80">
        <v>25231182.690000009</v>
      </c>
    </row>
    <row r="6" spans="2:7" ht="14.45" customHeight="1" x14ac:dyDescent="0.25">
      <c r="B6" s="87" t="s">
        <v>89</v>
      </c>
      <c r="C6" s="80">
        <v>197500000</v>
      </c>
      <c r="D6" s="84"/>
      <c r="E6" s="80">
        <v>227500000</v>
      </c>
      <c r="F6" s="84"/>
      <c r="G6" s="80">
        <v>227500000</v>
      </c>
    </row>
    <row r="7" spans="2:7" ht="14.45" customHeight="1" x14ac:dyDescent="0.25">
      <c r="B7" s="88" t="s">
        <v>90</v>
      </c>
      <c r="C7" s="80">
        <v>0</v>
      </c>
      <c r="D7" s="84"/>
      <c r="E7" s="80">
        <v>0</v>
      </c>
      <c r="F7" s="84"/>
      <c r="G7" s="80">
        <v>-6.0000000521540642E-2</v>
      </c>
    </row>
    <row r="8" spans="2:7" ht="15" customHeight="1" thickBot="1" x14ac:dyDescent="0.3">
      <c r="B8" s="77" t="s">
        <v>91</v>
      </c>
      <c r="C8" s="78">
        <f>SUM(C4:C7)</f>
        <v>199485770</v>
      </c>
      <c r="D8" s="82"/>
      <c r="E8" s="78">
        <f>SUM(E4:E7)</f>
        <v>254307815</v>
      </c>
      <c r="F8" s="82"/>
      <c r="G8" s="78">
        <f>SUM(G4:G7)</f>
        <v>254061902.29000002</v>
      </c>
    </row>
    <row r="9" spans="2:7" ht="15" customHeight="1" thickTop="1" x14ac:dyDescent="0.25">
      <c r="D9" s="83"/>
      <c r="F9" s="83"/>
    </row>
    <row r="10" spans="2:7" ht="30" x14ac:dyDescent="0.25">
      <c r="B10" s="89" t="s">
        <v>92</v>
      </c>
      <c r="C10" s="79" t="s">
        <v>84</v>
      </c>
      <c r="D10" s="81"/>
      <c r="E10" s="79" t="s">
        <v>85</v>
      </c>
      <c r="F10" s="81"/>
      <c r="G10" s="79" t="s">
        <v>86</v>
      </c>
    </row>
    <row r="11" spans="2:7" x14ac:dyDescent="0.25">
      <c r="B11" s="90" t="s">
        <v>93</v>
      </c>
      <c r="C11" s="80">
        <v>550000</v>
      </c>
      <c r="D11" s="84"/>
      <c r="E11" s="80">
        <v>550000</v>
      </c>
      <c r="F11" s="84"/>
      <c r="G11" s="80">
        <v>550000</v>
      </c>
    </row>
    <row r="12" spans="2:7" ht="14.45" customHeight="1" x14ac:dyDescent="0.25">
      <c r="B12" s="90" t="s">
        <v>94</v>
      </c>
      <c r="C12" s="80">
        <v>166950000</v>
      </c>
      <c r="D12" s="84"/>
      <c r="E12" s="80">
        <v>199146424</v>
      </c>
      <c r="F12" s="84"/>
      <c r="G12" s="80">
        <v>197793145.99000001</v>
      </c>
    </row>
    <row r="13" spans="2:7" ht="14.45" customHeight="1" x14ac:dyDescent="0.25">
      <c r="B13" s="90" t="s">
        <v>95</v>
      </c>
      <c r="C13" s="80">
        <v>225770</v>
      </c>
      <c r="D13" s="84"/>
      <c r="E13" s="80">
        <v>275770</v>
      </c>
      <c r="F13" s="84"/>
      <c r="G13" s="80">
        <v>1330719.6600000001</v>
      </c>
    </row>
    <row r="14" spans="2:7" ht="14.45" customHeight="1" x14ac:dyDescent="0.25">
      <c r="B14" s="90" t="s">
        <v>96</v>
      </c>
      <c r="C14" s="80">
        <v>0</v>
      </c>
      <c r="D14" s="84"/>
      <c r="E14" s="80">
        <v>0</v>
      </c>
      <c r="F14" s="84"/>
      <c r="G14" s="80">
        <v>0</v>
      </c>
    </row>
    <row r="15" spans="2:7" ht="14.45" customHeight="1" x14ac:dyDescent="0.25">
      <c r="B15" s="90" t="s">
        <v>97</v>
      </c>
      <c r="C15" s="80">
        <v>0</v>
      </c>
      <c r="D15" s="84"/>
      <c r="E15" s="80">
        <v>0</v>
      </c>
      <c r="F15" s="84"/>
      <c r="G15" s="80">
        <v>0</v>
      </c>
    </row>
    <row r="16" spans="2:7" ht="14.45" customHeight="1" x14ac:dyDescent="0.25">
      <c r="B16" s="90" t="s">
        <v>98</v>
      </c>
      <c r="C16" s="80">
        <v>1760000</v>
      </c>
      <c r="D16" s="84"/>
      <c r="E16" s="80">
        <v>1680747</v>
      </c>
      <c r="F16" s="84"/>
      <c r="G16" s="80">
        <v>1983162.7</v>
      </c>
    </row>
    <row r="17" spans="2:7" ht="14.45" customHeight="1" x14ac:dyDescent="0.25">
      <c r="B17" s="90" t="s">
        <v>99</v>
      </c>
      <c r="C17" s="80">
        <v>30000000</v>
      </c>
      <c r="D17" s="84"/>
      <c r="E17" s="80">
        <v>52654874</v>
      </c>
      <c r="F17" s="84"/>
      <c r="G17" s="80">
        <v>52404874</v>
      </c>
    </row>
    <row r="18" spans="2:7" ht="14.45" customHeight="1" thickBot="1" x14ac:dyDescent="0.3">
      <c r="B18" s="38" t="s">
        <v>100</v>
      </c>
      <c r="C18" s="39">
        <f>SUM(C11:C17)</f>
        <v>199485770</v>
      </c>
      <c r="D18" s="85"/>
      <c r="E18" s="39">
        <f>SUM(E11:E17)</f>
        <v>254307815</v>
      </c>
      <c r="F18" s="85"/>
      <c r="G18" s="39">
        <f>SUM(G11:G17)</f>
        <v>254061902.34999999</v>
      </c>
    </row>
    <row r="19" spans="2:7" ht="14.45" customHeight="1" thickTop="1" x14ac:dyDescent="0.25"/>
    <row r="20" spans="2:7" x14ac:dyDescent="0.25">
      <c r="G20" s="33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94" orientation="portrait" horizontalDpi="1200" verticalDpi="1200" r:id="rId1"/>
  <headerFooter>
    <oddHeader>&amp;C&amp;F&amp;R&amp;A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/>
    <pageSetUpPr fitToPage="1"/>
  </sheetPr>
  <dimension ref="B2:G78"/>
  <sheetViews>
    <sheetView showGridLines="0" zoomScale="115" zoomScaleNormal="115" workbookViewId="0">
      <selection activeCell="C5" sqref="C5:G77"/>
    </sheetView>
  </sheetViews>
  <sheetFormatPr defaultColWidth="11.5703125" defaultRowHeight="15" x14ac:dyDescent="0.25"/>
  <cols>
    <col min="1" max="1" width="4.85546875" customWidth="1"/>
    <col min="2" max="2" width="49.5703125" bestFit="1" customWidth="1"/>
    <col min="3" max="3" width="16.7109375" bestFit="1" customWidth="1"/>
    <col min="4" max="4" width="1.5703125" customWidth="1"/>
    <col min="5" max="5" width="16.7109375" bestFit="1" customWidth="1"/>
    <col min="6" max="6" width="1.42578125" customWidth="1"/>
    <col min="7" max="7" width="16.7109375" bestFit="1" customWidth="1"/>
    <col min="8" max="8" width="11" bestFit="1" customWidth="1"/>
    <col min="9" max="9" width="12.140625" bestFit="1" customWidth="1"/>
    <col min="10" max="10" width="10.42578125" bestFit="1" customWidth="1"/>
    <col min="11" max="11" width="9.42578125" customWidth="1"/>
    <col min="12" max="12" width="1.5703125" customWidth="1"/>
    <col min="13" max="13" width="8.85546875" customWidth="1"/>
    <col min="14" max="14" width="14.42578125" customWidth="1"/>
    <col min="15" max="15" width="17.5703125" bestFit="1" customWidth="1"/>
    <col min="16" max="16" width="17.42578125" bestFit="1" customWidth="1"/>
    <col min="17" max="17" width="15.5703125" bestFit="1" customWidth="1"/>
    <col min="18" max="18" width="17" bestFit="1" customWidth="1"/>
    <col min="20" max="20" width="13.5703125" customWidth="1"/>
  </cols>
  <sheetData>
    <row r="2" spans="2:7" ht="30" x14ac:dyDescent="0.25">
      <c r="B2" s="44" t="s">
        <v>92</v>
      </c>
      <c r="C2" s="45" t="s">
        <v>84</v>
      </c>
      <c r="D2" s="40"/>
      <c r="E2" s="45" t="s">
        <v>101</v>
      </c>
      <c r="F2" s="40"/>
      <c r="G2" s="46" t="s">
        <v>86</v>
      </c>
    </row>
    <row r="3" spans="2:7" x14ac:dyDescent="0.25">
      <c r="B3" s="41"/>
      <c r="C3" s="41"/>
      <c r="D3" s="41"/>
      <c r="E3" s="42"/>
      <c r="F3" s="41"/>
      <c r="G3" s="42"/>
    </row>
    <row r="4" spans="2:7" x14ac:dyDescent="0.25">
      <c r="B4" s="47" t="s">
        <v>93</v>
      </c>
      <c r="C4" s="48"/>
      <c r="D4" s="43"/>
      <c r="E4" s="48"/>
      <c r="F4" s="43"/>
      <c r="G4" s="48"/>
    </row>
    <row r="5" spans="2:7" ht="14.85" customHeight="1" x14ac:dyDescent="0.25">
      <c r="B5" s="35" t="s">
        <v>102</v>
      </c>
      <c r="C5" s="36">
        <v>50000</v>
      </c>
      <c r="D5" s="37"/>
      <c r="E5" s="36">
        <v>50000</v>
      </c>
      <c r="F5" s="37"/>
      <c r="G5" s="36">
        <v>52137.5</v>
      </c>
    </row>
    <row r="6" spans="2:7" ht="14.85" customHeight="1" x14ac:dyDescent="0.25">
      <c r="B6" s="35" t="s">
        <v>103</v>
      </c>
      <c r="C6" s="36">
        <v>500000</v>
      </c>
      <c r="D6" s="37"/>
      <c r="E6" s="36">
        <v>500000</v>
      </c>
      <c r="F6" s="37"/>
      <c r="G6" s="36">
        <v>497862.5</v>
      </c>
    </row>
    <row r="7" spans="2:7" ht="14.85" customHeight="1" x14ac:dyDescent="0.25">
      <c r="B7" s="35" t="s">
        <v>104</v>
      </c>
      <c r="C7" s="36">
        <v>0</v>
      </c>
      <c r="D7" s="37"/>
      <c r="E7" s="36">
        <v>0</v>
      </c>
      <c r="F7" s="37"/>
      <c r="G7" s="36">
        <v>0</v>
      </c>
    </row>
    <row r="8" spans="2:7" ht="14.85" customHeight="1" x14ac:dyDescent="0.25">
      <c r="B8" s="49" t="s">
        <v>105</v>
      </c>
      <c r="C8" s="70">
        <v>550000</v>
      </c>
      <c r="D8" s="37"/>
      <c r="E8" s="70">
        <v>550000</v>
      </c>
      <c r="F8" s="37"/>
      <c r="G8" s="70">
        <v>550000</v>
      </c>
    </row>
    <row r="9" spans="2:7" ht="14.85" customHeight="1" x14ac:dyDescent="0.25">
      <c r="B9" s="51" t="s">
        <v>106</v>
      </c>
      <c r="C9" s="69">
        <v>550000</v>
      </c>
      <c r="D9" s="43"/>
      <c r="E9" s="69">
        <v>550000</v>
      </c>
      <c r="F9" s="43"/>
      <c r="G9" s="69">
        <v>550000</v>
      </c>
    </row>
    <row r="10" spans="2:7" ht="15" customHeight="1" x14ac:dyDescent="0.25">
      <c r="B10" s="52"/>
      <c r="C10" s="53"/>
      <c r="D10" s="43"/>
      <c r="E10" s="53"/>
      <c r="F10" s="43"/>
      <c r="G10" s="53"/>
    </row>
    <row r="11" spans="2:7" ht="15" customHeight="1" x14ac:dyDescent="0.25">
      <c r="B11" s="47" t="s">
        <v>94</v>
      </c>
      <c r="C11" s="48"/>
      <c r="D11" s="43"/>
      <c r="E11" s="48"/>
      <c r="F11" s="43"/>
      <c r="G11" s="48"/>
    </row>
    <row r="12" spans="2:7" ht="15" customHeight="1" x14ac:dyDescent="0.25">
      <c r="B12" s="35" t="s">
        <v>102</v>
      </c>
      <c r="C12" s="36">
        <v>14720000</v>
      </c>
      <c r="D12" s="37"/>
      <c r="E12" s="36">
        <v>18888142</v>
      </c>
      <c r="F12" s="37"/>
      <c r="G12" s="36">
        <v>18806146.370000001</v>
      </c>
    </row>
    <row r="13" spans="2:7" ht="15" customHeight="1" x14ac:dyDescent="0.25">
      <c r="B13" s="35" t="s">
        <v>107</v>
      </c>
      <c r="C13" s="36">
        <v>148000000</v>
      </c>
      <c r="D13" s="37"/>
      <c r="E13" s="36">
        <v>174600542</v>
      </c>
      <c r="F13" s="37"/>
      <c r="G13" s="36">
        <v>173475688</v>
      </c>
    </row>
    <row r="14" spans="2:7" x14ac:dyDescent="0.25">
      <c r="B14" s="35" t="s">
        <v>104</v>
      </c>
      <c r="C14" s="36">
        <v>2250000</v>
      </c>
      <c r="D14" s="37"/>
      <c r="E14" s="36">
        <v>3461209</v>
      </c>
      <c r="F14" s="37"/>
      <c r="G14" s="36">
        <v>3447703.08</v>
      </c>
    </row>
    <row r="15" spans="2:7" ht="14.85" customHeight="1" x14ac:dyDescent="0.25">
      <c r="B15" s="49" t="s">
        <v>105</v>
      </c>
      <c r="C15" s="70">
        <v>164970000</v>
      </c>
      <c r="D15" s="43"/>
      <c r="E15" s="70">
        <v>196949893</v>
      </c>
      <c r="F15" s="43"/>
      <c r="G15" s="70">
        <v>195729537.45000002</v>
      </c>
    </row>
    <row r="16" spans="2:7" ht="14.85" customHeight="1" x14ac:dyDescent="0.25">
      <c r="B16" s="54" t="s">
        <v>108</v>
      </c>
      <c r="C16" s="36">
        <v>345000</v>
      </c>
      <c r="D16" s="37"/>
      <c r="E16" s="36">
        <v>345000</v>
      </c>
      <c r="F16" s="37"/>
      <c r="G16" s="36">
        <v>356264.7</v>
      </c>
    </row>
    <row r="17" spans="2:7" ht="14.85" customHeight="1" x14ac:dyDescent="0.25">
      <c r="B17" s="54" t="s">
        <v>109</v>
      </c>
      <c r="C17" s="36">
        <v>250000</v>
      </c>
      <c r="D17" s="37"/>
      <c r="E17" s="36">
        <v>250000</v>
      </c>
      <c r="F17" s="37"/>
      <c r="G17" s="36">
        <v>0</v>
      </c>
    </row>
    <row r="18" spans="2:7" ht="14.85" customHeight="1" x14ac:dyDescent="0.25">
      <c r="B18" s="54" t="s">
        <v>110</v>
      </c>
      <c r="C18" s="36">
        <v>180000</v>
      </c>
      <c r="D18" s="37"/>
      <c r="E18" s="36">
        <v>180000</v>
      </c>
      <c r="F18" s="37"/>
      <c r="G18" s="36">
        <v>180000</v>
      </c>
    </row>
    <row r="19" spans="2:7" ht="14.85" customHeight="1" x14ac:dyDescent="0.25">
      <c r="B19" s="54" t="s">
        <v>111</v>
      </c>
      <c r="C19" s="36">
        <v>1205000</v>
      </c>
      <c r="D19" s="37"/>
      <c r="E19" s="36">
        <v>1421531</v>
      </c>
      <c r="F19" s="37"/>
      <c r="G19" s="36">
        <v>1527343.84</v>
      </c>
    </row>
    <row r="20" spans="2:7" ht="14.85" customHeight="1" x14ac:dyDescent="0.25">
      <c r="B20" s="51" t="s">
        <v>112</v>
      </c>
      <c r="C20" s="71">
        <v>166950000</v>
      </c>
      <c r="D20" s="43"/>
      <c r="E20" s="71">
        <v>199146424</v>
      </c>
      <c r="F20" s="43"/>
      <c r="G20" s="71">
        <v>197793145.99000001</v>
      </c>
    </row>
    <row r="21" spans="2:7" ht="14.85" customHeight="1" x14ac:dyDescent="0.25">
      <c r="B21" s="52"/>
      <c r="C21" s="53"/>
      <c r="D21" s="43"/>
      <c r="E21" s="53"/>
      <c r="F21" s="43"/>
      <c r="G21" s="53"/>
    </row>
    <row r="22" spans="2:7" ht="14.85" customHeight="1" x14ac:dyDescent="0.25">
      <c r="B22" s="47" t="s">
        <v>95</v>
      </c>
      <c r="C22" s="48"/>
      <c r="D22" s="43"/>
      <c r="E22" s="48"/>
      <c r="F22" s="43"/>
      <c r="G22" s="48"/>
    </row>
    <row r="23" spans="2:7" ht="14.85" customHeight="1" x14ac:dyDescent="0.25">
      <c r="B23" s="35" t="s">
        <v>102</v>
      </c>
      <c r="C23" s="36">
        <v>200000</v>
      </c>
      <c r="D23" s="37"/>
      <c r="E23" s="36">
        <v>250000</v>
      </c>
      <c r="F23" s="37"/>
      <c r="G23" s="36">
        <v>555358.54</v>
      </c>
    </row>
    <row r="24" spans="2:7" x14ac:dyDescent="0.25">
      <c r="B24" s="35" t="s">
        <v>107</v>
      </c>
      <c r="C24" s="36">
        <v>0</v>
      </c>
      <c r="D24" s="37"/>
      <c r="E24" s="36">
        <v>0</v>
      </c>
      <c r="F24" s="37"/>
      <c r="G24" s="36">
        <v>-246328.88</v>
      </c>
    </row>
    <row r="25" spans="2:7" x14ac:dyDescent="0.25">
      <c r="B25" s="35" t="s">
        <v>104</v>
      </c>
      <c r="C25" s="36">
        <v>0</v>
      </c>
      <c r="D25" s="37"/>
      <c r="E25" s="36">
        <v>0</v>
      </c>
      <c r="F25" s="37"/>
      <c r="G25" s="36">
        <v>0</v>
      </c>
    </row>
    <row r="26" spans="2:7" x14ac:dyDescent="0.25">
      <c r="B26" s="49" t="s">
        <v>105</v>
      </c>
      <c r="C26" s="70">
        <v>200000</v>
      </c>
      <c r="D26" s="43"/>
      <c r="E26" s="70">
        <v>250000</v>
      </c>
      <c r="F26" s="43"/>
      <c r="G26" s="70">
        <v>309029.66000000003</v>
      </c>
    </row>
    <row r="27" spans="2:7" x14ac:dyDescent="0.25">
      <c r="B27" s="54" t="s">
        <v>108</v>
      </c>
      <c r="C27" s="36">
        <v>0</v>
      </c>
      <c r="D27" s="37"/>
      <c r="E27" s="36">
        <v>0</v>
      </c>
      <c r="F27" s="37"/>
      <c r="G27" s="36">
        <v>1000000</v>
      </c>
    </row>
    <row r="28" spans="2:7" x14ac:dyDescent="0.25">
      <c r="B28" s="54" t="s">
        <v>109</v>
      </c>
      <c r="C28" s="36">
        <v>0</v>
      </c>
      <c r="D28" s="37"/>
      <c r="E28" s="36">
        <v>0</v>
      </c>
      <c r="F28" s="37"/>
      <c r="G28" s="36">
        <v>0</v>
      </c>
    </row>
    <row r="29" spans="2:7" x14ac:dyDescent="0.25">
      <c r="B29" s="54" t="s">
        <v>110</v>
      </c>
      <c r="C29" s="36">
        <v>11000</v>
      </c>
      <c r="D29" s="37"/>
      <c r="E29" s="36">
        <v>11000</v>
      </c>
      <c r="F29" s="37"/>
      <c r="G29" s="36">
        <v>20000</v>
      </c>
    </row>
    <row r="30" spans="2:7" x14ac:dyDescent="0.25">
      <c r="B30" s="54" t="s">
        <v>111</v>
      </c>
      <c r="C30" s="36">
        <v>14770.000000000002</v>
      </c>
      <c r="D30" s="37"/>
      <c r="E30" s="36">
        <v>14770.000000000002</v>
      </c>
      <c r="F30" s="37"/>
      <c r="G30" s="36">
        <v>1690</v>
      </c>
    </row>
    <row r="31" spans="2:7" x14ac:dyDescent="0.25">
      <c r="B31" s="51" t="s">
        <v>112</v>
      </c>
      <c r="C31" s="71">
        <v>225770</v>
      </c>
      <c r="D31" s="43"/>
      <c r="E31" s="71">
        <v>275770</v>
      </c>
      <c r="F31" s="43"/>
      <c r="G31" s="71">
        <v>1330719.6600000001</v>
      </c>
    </row>
    <row r="32" spans="2:7" x14ac:dyDescent="0.25">
      <c r="B32" s="52"/>
      <c r="C32" s="53"/>
      <c r="D32" s="43"/>
      <c r="E32" s="53"/>
      <c r="F32" s="43"/>
      <c r="G32" s="53"/>
    </row>
    <row r="33" spans="2:7" x14ac:dyDescent="0.25">
      <c r="B33" s="47" t="s">
        <v>113</v>
      </c>
      <c r="C33" s="48"/>
      <c r="D33" s="43"/>
      <c r="E33" s="48"/>
      <c r="F33" s="43"/>
      <c r="G33" s="48"/>
    </row>
    <row r="34" spans="2:7" x14ac:dyDescent="0.25">
      <c r="B34" s="35" t="s">
        <v>102</v>
      </c>
      <c r="C34" s="152"/>
      <c r="D34" s="37"/>
      <c r="E34" s="152"/>
      <c r="F34" s="37"/>
      <c r="G34" s="152"/>
    </row>
    <row r="35" spans="2:7" x14ac:dyDescent="0.25">
      <c r="B35" s="35" t="s">
        <v>107</v>
      </c>
      <c r="C35" s="152"/>
      <c r="D35" s="37"/>
      <c r="E35" s="152"/>
      <c r="F35" s="37"/>
      <c r="G35" s="152"/>
    </row>
    <row r="36" spans="2:7" x14ac:dyDescent="0.25">
      <c r="B36" s="35" t="s">
        <v>104</v>
      </c>
      <c r="C36" s="152"/>
      <c r="D36" s="37"/>
      <c r="E36" s="152"/>
      <c r="F36" s="37"/>
      <c r="G36" s="152"/>
    </row>
    <row r="37" spans="2:7" x14ac:dyDescent="0.25">
      <c r="B37" s="49" t="s">
        <v>105</v>
      </c>
      <c r="C37" s="153"/>
      <c r="D37" s="43"/>
      <c r="E37" s="153"/>
      <c r="F37" s="43"/>
      <c r="G37" s="153"/>
    </row>
    <row r="38" spans="2:7" x14ac:dyDescent="0.25">
      <c r="B38" s="54" t="s">
        <v>108</v>
      </c>
      <c r="C38" s="152"/>
      <c r="D38" s="37"/>
      <c r="E38" s="152"/>
      <c r="F38" s="37"/>
      <c r="G38" s="152"/>
    </row>
    <row r="39" spans="2:7" x14ac:dyDescent="0.25">
      <c r="B39" s="54" t="s">
        <v>109</v>
      </c>
      <c r="C39" s="152"/>
      <c r="D39" s="37"/>
      <c r="E39" s="152"/>
      <c r="F39" s="37"/>
      <c r="G39" s="152"/>
    </row>
    <row r="40" spans="2:7" x14ac:dyDescent="0.25">
      <c r="B40" s="54" t="s">
        <v>110</v>
      </c>
      <c r="C40" s="152"/>
      <c r="D40" s="37"/>
      <c r="E40" s="152"/>
      <c r="F40" s="37"/>
      <c r="G40" s="152"/>
    </row>
    <row r="41" spans="2:7" x14ac:dyDescent="0.25">
      <c r="B41" s="54" t="s">
        <v>111</v>
      </c>
      <c r="C41" s="36"/>
      <c r="D41" s="37"/>
      <c r="E41" s="36"/>
      <c r="F41" s="37"/>
      <c r="G41" s="36"/>
    </row>
    <row r="42" spans="2:7" x14ac:dyDescent="0.25">
      <c r="B42" s="51" t="s">
        <v>112</v>
      </c>
      <c r="C42" s="71">
        <v>0</v>
      </c>
      <c r="D42" s="43"/>
      <c r="E42" s="71">
        <v>0</v>
      </c>
      <c r="F42" s="43"/>
      <c r="G42" s="71">
        <v>0</v>
      </c>
    </row>
    <row r="43" spans="2:7" x14ac:dyDescent="0.25">
      <c r="B43" s="52"/>
      <c r="C43" s="53"/>
      <c r="D43" s="43"/>
      <c r="E43" s="53"/>
      <c r="F43" s="43"/>
      <c r="G43" s="53"/>
    </row>
    <row r="44" spans="2:7" x14ac:dyDescent="0.25">
      <c r="B44" s="47" t="s">
        <v>114</v>
      </c>
      <c r="C44" s="48"/>
      <c r="D44" s="43"/>
      <c r="E44" s="48"/>
      <c r="F44" s="43"/>
      <c r="G44" s="48"/>
    </row>
    <row r="45" spans="2:7" x14ac:dyDescent="0.25">
      <c r="B45" s="35" t="s">
        <v>102</v>
      </c>
      <c r="C45" s="152"/>
      <c r="D45" s="37"/>
      <c r="E45" s="152"/>
      <c r="F45" s="37"/>
      <c r="G45" s="152"/>
    </row>
    <row r="46" spans="2:7" x14ac:dyDescent="0.25">
      <c r="B46" s="35" t="s">
        <v>107</v>
      </c>
      <c r="C46" s="152"/>
      <c r="D46" s="37"/>
      <c r="E46" s="152"/>
      <c r="F46" s="37"/>
      <c r="G46" s="152"/>
    </row>
    <row r="47" spans="2:7" x14ac:dyDescent="0.25">
      <c r="B47" s="35" t="s">
        <v>104</v>
      </c>
      <c r="C47" s="152"/>
      <c r="D47" s="37"/>
      <c r="E47" s="152"/>
      <c r="F47" s="37"/>
      <c r="G47" s="152"/>
    </row>
    <row r="48" spans="2:7" x14ac:dyDescent="0.25">
      <c r="B48" s="49" t="s">
        <v>105</v>
      </c>
      <c r="C48" s="153"/>
      <c r="D48" s="43"/>
      <c r="E48" s="153"/>
      <c r="F48" s="43"/>
      <c r="G48" s="153"/>
    </row>
    <row r="49" spans="2:7" x14ac:dyDescent="0.25">
      <c r="B49" s="54" t="s">
        <v>108</v>
      </c>
      <c r="C49" s="152"/>
      <c r="D49" s="37"/>
      <c r="E49" s="152"/>
      <c r="F49" s="37"/>
      <c r="G49" s="152"/>
    </row>
    <row r="50" spans="2:7" x14ac:dyDescent="0.25">
      <c r="B50" s="54" t="s">
        <v>109</v>
      </c>
      <c r="C50" s="152"/>
      <c r="D50" s="37"/>
      <c r="E50" s="152"/>
      <c r="F50" s="37"/>
      <c r="G50" s="152"/>
    </row>
    <row r="51" spans="2:7" x14ac:dyDescent="0.25">
      <c r="B51" s="54" t="s">
        <v>110</v>
      </c>
      <c r="C51" s="152"/>
      <c r="D51" s="37"/>
      <c r="E51" s="152"/>
      <c r="F51" s="37"/>
      <c r="G51" s="152"/>
    </row>
    <row r="52" spans="2:7" x14ac:dyDescent="0.25">
      <c r="B52" s="54" t="s">
        <v>111</v>
      </c>
      <c r="C52" s="36"/>
      <c r="D52" s="37"/>
      <c r="E52" s="36"/>
      <c r="F52" s="37"/>
      <c r="G52" s="36"/>
    </row>
    <row r="53" spans="2:7" x14ac:dyDescent="0.25">
      <c r="B53" s="51" t="s">
        <v>112</v>
      </c>
      <c r="C53" s="71">
        <v>0</v>
      </c>
      <c r="D53" s="43"/>
      <c r="E53" s="71">
        <v>0</v>
      </c>
      <c r="F53" s="43"/>
      <c r="G53" s="71">
        <v>0</v>
      </c>
    </row>
    <row r="54" spans="2:7" x14ac:dyDescent="0.25">
      <c r="B54" s="35"/>
      <c r="C54" s="53"/>
      <c r="D54" s="43"/>
      <c r="E54" s="53"/>
      <c r="F54" s="43"/>
      <c r="G54" s="53"/>
    </row>
    <row r="55" spans="2:7" x14ac:dyDescent="0.25">
      <c r="B55" s="47" t="s">
        <v>98</v>
      </c>
      <c r="C55" s="48"/>
      <c r="D55" s="43"/>
      <c r="E55" s="48"/>
      <c r="F55" s="43"/>
      <c r="G55" s="48"/>
    </row>
    <row r="56" spans="2:7" x14ac:dyDescent="0.25">
      <c r="B56" s="35" t="s">
        <v>102</v>
      </c>
      <c r="C56" s="36">
        <v>660000</v>
      </c>
      <c r="D56" s="37"/>
      <c r="E56" s="36">
        <v>810000</v>
      </c>
      <c r="F56" s="37"/>
      <c r="G56" s="36">
        <v>1277313.3899999999</v>
      </c>
    </row>
    <row r="57" spans="2:7" x14ac:dyDescent="0.25">
      <c r="B57" s="35" t="s">
        <v>107</v>
      </c>
      <c r="C57" s="36">
        <v>0</v>
      </c>
      <c r="D57" s="37"/>
      <c r="E57" s="36">
        <v>0</v>
      </c>
      <c r="F57" s="37"/>
      <c r="G57" s="36">
        <v>0</v>
      </c>
    </row>
    <row r="58" spans="2:7" x14ac:dyDescent="0.25">
      <c r="B58" s="35" t="s">
        <v>104</v>
      </c>
      <c r="C58" s="36">
        <v>290000</v>
      </c>
      <c r="D58" s="37"/>
      <c r="E58" s="36">
        <v>510000</v>
      </c>
      <c r="F58" s="37"/>
      <c r="G58" s="36">
        <v>345849.31</v>
      </c>
    </row>
    <row r="59" spans="2:7" x14ac:dyDescent="0.25">
      <c r="B59" s="49" t="s">
        <v>105</v>
      </c>
      <c r="C59" s="50">
        <v>950000</v>
      </c>
      <c r="D59" s="43"/>
      <c r="E59" s="50">
        <v>1320000</v>
      </c>
      <c r="F59" s="43"/>
      <c r="G59" s="50">
        <v>1623162.7</v>
      </c>
    </row>
    <row r="60" spans="2:7" x14ac:dyDescent="0.25">
      <c r="B60" s="54" t="s">
        <v>108</v>
      </c>
      <c r="C60" s="36">
        <v>40000</v>
      </c>
      <c r="D60" s="37"/>
      <c r="E60" s="36">
        <v>40000</v>
      </c>
      <c r="F60" s="37"/>
      <c r="G60" s="36">
        <v>40000</v>
      </c>
    </row>
    <row r="61" spans="2:7" x14ac:dyDescent="0.25">
      <c r="B61" s="54" t="s">
        <v>109</v>
      </c>
      <c r="C61" s="36">
        <v>0</v>
      </c>
      <c r="D61" s="37"/>
      <c r="E61" s="36">
        <v>747</v>
      </c>
      <c r="F61" s="37"/>
      <c r="G61" s="36">
        <v>0</v>
      </c>
    </row>
    <row r="62" spans="2:7" x14ac:dyDescent="0.25">
      <c r="B62" s="54" t="s">
        <v>110</v>
      </c>
      <c r="C62" s="36">
        <v>20000</v>
      </c>
      <c r="D62" s="37"/>
      <c r="E62" s="36">
        <v>20000</v>
      </c>
      <c r="F62" s="37"/>
      <c r="G62" s="36">
        <v>20000</v>
      </c>
    </row>
    <row r="63" spans="2:7" x14ac:dyDescent="0.25">
      <c r="B63" s="54" t="s">
        <v>111</v>
      </c>
      <c r="C63" s="36">
        <v>750000</v>
      </c>
      <c r="D63" s="37"/>
      <c r="E63" s="36">
        <v>300000</v>
      </c>
      <c r="F63" s="37"/>
      <c r="G63" s="36">
        <v>300000</v>
      </c>
    </row>
    <row r="64" spans="2:7" x14ac:dyDescent="0.25">
      <c r="B64" s="51" t="s">
        <v>112</v>
      </c>
      <c r="C64" s="71">
        <v>1760000</v>
      </c>
      <c r="D64" s="43"/>
      <c r="E64" s="71">
        <v>1680747</v>
      </c>
      <c r="F64" s="43"/>
      <c r="G64" s="71">
        <v>1983162.7</v>
      </c>
    </row>
    <row r="65" spans="2:7" x14ac:dyDescent="0.25">
      <c r="B65" s="52"/>
      <c r="C65" s="53"/>
      <c r="D65" s="43"/>
      <c r="E65" s="53"/>
      <c r="F65" s="43"/>
      <c r="G65" s="53"/>
    </row>
    <row r="66" spans="2:7" x14ac:dyDescent="0.25">
      <c r="B66" s="47" t="s">
        <v>99</v>
      </c>
      <c r="C66" s="48"/>
      <c r="D66" s="43"/>
      <c r="E66" s="48"/>
      <c r="F66" s="43"/>
      <c r="G66" s="48"/>
    </row>
    <row r="67" spans="2:7" x14ac:dyDescent="0.25">
      <c r="B67" s="35" t="s">
        <v>102</v>
      </c>
      <c r="C67" s="36">
        <v>2000000</v>
      </c>
      <c r="D67" s="37"/>
      <c r="E67" s="36">
        <v>3264989</v>
      </c>
      <c r="F67" s="43"/>
      <c r="G67" s="36">
        <v>3264989</v>
      </c>
    </row>
    <row r="68" spans="2:7" x14ac:dyDescent="0.25">
      <c r="B68" s="35" t="s">
        <v>107</v>
      </c>
      <c r="C68" s="36">
        <v>26500000</v>
      </c>
      <c r="D68" s="37"/>
      <c r="E68" s="36">
        <v>45407000</v>
      </c>
      <c r="F68" s="43"/>
      <c r="G68" s="36">
        <v>45407000</v>
      </c>
    </row>
    <row r="69" spans="2:7" x14ac:dyDescent="0.25">
      <c r="B69" s="35" t="s">
        <v>104</v>
      </c>
      <c r="C69" s="36">
        <v>550000</v>
      </c>
      <c r="D69" s="37"/>
      <c r="E69" s="36">
        <v>3093510</v>
      </c>
      <c r="F69" s="43"/>
      <c r="G69" s="36">
        <v>3093510</v>
      </c>
    </row>
    <row r="70" spans="2:7" x14ac:dyDescent="0.25">
      <c r="B70" s="49" t="s">
        <v>105</v>
      </c>
      <c r="C70" s="50">
        <v>29050000</v>
      </c>
      <c r="D70" s="43"/>
      <c r="E70" s="50">
        <v>51765499</v>
      </c>
      <c r="F70" s="43"/>
      <c r="G70" s="50">
        <v>51765499</v>
      </c>
    </row>
    <row r="71" spans="2:7" x14ac:dyDescent="0.25">
      <c r="B71" s="54" t="s">
        <v>108</v>
      </c>
      <c r="C71" s="36">
        <v>60000</v>
      </c>
      <c r="D71" s="37"/>
      <c r="E71" s="36">
        <v>10000</v>
      </c>
      <c r="F71" s="43"/>
      <c r="G71" s="36">
        <v>10000</v>
      </c>
    </row>
    <row r="72" spans="2:7" x14ac:dyDescent="0.25">
      <c r="B72" s="54" t="s">
        <v>109</v>
      </c>
      <c r="C72" s="36">
        <v>200000</v>
      </c>
      <c r="D72" s="37"/>
      <c r="E72" s="36">
        <v>250000</v>
      </c>
      <c r="F72" s="43"/>
      <c r="G72" s="36">
        <v>0</v>
      </c>
    </row>
    <row r="73" spans="2:7" x14ac:dyDescent="0.25">
      <c r="B73" s="54" t="s">
        <v>110</v>
      </c>
      <c r="C73" s="36">
        <v>40000</v>
      </c>
      <c r="D73" s="37"/>
      <c r="E73" s="36">
        <v>20000</v>
      </c>
      <c r="F73" s="43"/>
      <c r="G73" s="36">
        <v>20000</v>
      </c>
    </row>
    <row r="74" spans="2:7" x14ac:dyDescent="0.25">
      <c r="B74" s="54" t="s">
        <v>115</v>
      </c>
      <c r="C74" s="36">
        <v>650000</v>
      </c>
      <c r="D74" s="37"/>
      <c r="E74" s="36">
        <v>609375</v>
      </c>
      <c r="F74" s="43"/>
      <c r="G74" s="36">
        <v>609375</v>
      </c>
    </row>
    <row r="75" spans="2:7" x14ac:dyDescent="0.25">
      <c r="B75" s="51" t="s">
        <v>112</v>
      </c>
      <c r="C75" s="71">
        <v>30000000</v>
      </c>
      <c r="D75" s="43"/>
      <c r="E75" s="71">
        <v>52654874</v>
      </c>
      <c r="F75" s="43"/>
      <c r="G75" s="71">
        <v>52404874</v>
      </c>
    </row>
    <row r="76" spans="2:7" x14ac:dyDescent="0.25">
      <c r="B76" s="52"/>
      <c r="C76" s="53"/>
      <c r="D76" s="43"/>
      <c r="E76" s="53"/>
      <c r="F76" s="43"/>
      <c r="G76" s="53"/>
    </row>
    <row r="77" spans="2:7" ht="15.75" thickBot="1" x14ac:dyDescent="0.3">
      <c r="B77" s="55" t="s">
        <v>100</v>
      </c>
      <c r="C77" s="56">
        <v>199485770</v>
      </c>
      <c r="D77" s="43"/>
      <c r="E77" s="56">
        <v>254307815</v>
      </c>
      <c r="F77" s="43"/>
      <c r="G77" s="56">
        <v>254061902.34999999</v>
      </c>
    </row>
    <row r="78" spans="2:7" ht="15.75" thickTop="1" x14ac:dyDescent="0.25"/>
  </sheetData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Header>&amp;C&amp;F&amp;R&amp;A</oddHeader>
  </headerFooter>
  <rowBreaks count="1" manualBreakCount="1">
    <brk id="43" min="1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71A93-8571-4E9A-8FF5-5CA9630EAE96}">
  <sheetPr>
    <tabColor theme="6"/>
    <pageSetUpPr fitToPage="1"/>
  </sheetPr>
  <dimension ref="A1:J45"/>
  <sheetViews>
    <sheetView zoomScaleNormal="100" workbookViewId="0">
      <selection activeCell="C46" sqref="C46"/>
    </sheetView>
  </sheetViews>
  <sheetFormatPr defaultRowHeight="15" x14ac:dyDescent="0.25"/>
  <cols>
    <col min="1" max="1" width="9.5703125" bestFit="1" customWidth="1"/>
    <col min="2" max="2" width="38.5703125" bestFit="1" customWidth="1"/>
    <col min="3" max="3" width="14.5703125" customWidth="1"/>
    <col min="4" max="4" width="13.42578125" bestFit="1" customWidth="1"/>
    <col min="5" max="5" width="13.140625" bestFit="1" customWidth="1"/>
    <col min="6" max="6" width="12.42578125" customWidth="1"/>
    <col min="8" max="8" width="10" bestFit="1" customWidth="1"/>
  </cols>
  <sheetData>
    <row r="1" spans="1:8" ht="18.75" customHeight="1" x14ac:dyDescent="0.35">
      <c r="A1" s="162" t="s">
        <v>116</v>
      </c>
      <c r="B1" s="162"/>
      <c r="C1" s="162"/>
      <c r="D1" s="162"/>
      <c r="E1" s="162"/>
      <c r="F1" s="162"/>
    </row>
    <row r="2" spans="1:8" ht="15.75" customHeight="1" x14ac:dyDescent="0.25">
      <c r="A2" s="155" t="s">
        <v>117</v>
      </c>
      <c r="B2" s="157"/>
      <c r="C2" s="65" t="s">
        <v>118</v>
      </c>
      <c r="D2" s="26" t="s">
        <v>119</v>
      </c>
      <c r="E2" s="65" t="s">
        <v>120</v>
      </c>
      <c r="F2" s="65" t="s">
        <v>121</v>
      </c>
    </row>
    <row r="3" spans="1:8" ht="18.75" customHeight="1" x14ac:dyDescent="0.25">
      <c r="A3" s="20" t="s">
        <v>122</v>
      </c>
      <c r="B3" s="21" t="s">
        <v>123</v>
      </c>
      <c r="C3" s="63">
        <f>C12</f>
        <v>1383357.4</v>
      </c>
      <c r="D3" s="63">
        <f>D12</f>
        <v>1383357.4</v>
      </c>
      <c r="E3" s="63">
        <f>E12</f>
        <v>1383357.25</v>
      </c>
      <c r="F3" s="63">
        <f>F12</f>
        <v>0.14999999990686774</v>
      </c>
    </row>
    <row r="4" spans="1:8" ht="18.75" customHeight="1" x14ac:dyDescent="0.25">
      <c r="A4" s="20" t="s">
        <v>124</v>
      </c>
      <c r="B4" s="21" t="s">
        <v>125</v>
      </c>
      <c r="C4" s="63">
        <f>C24</f>
        <v>889143</v>
      </c>
      <c r="D4" s="63">
        <f>D24</f>
        <v>889142.55</v>
      </c>
      <c r="E4" s="63">
        <f>E24</f>
        <v>889142.79999999993</v>
      </c>
      <c r="F4" s="63">
        <f>F24</f>
        <v>-0.24999999997339728</v>
      </c>
    </row>
    <row r="5" spans="1:8" ht="18.75" customHeight="1" x14ac:dyDescent="0.25">
      <c r="A5" s="20" t="s">
        <v>126</v>
      </c>
      <c r="B5" s="21" t="s">
        <v>127</v>
      </c>
      <c r="C5" s="63">
        <f>C28</f>
        <v>22727500</v>
      </c>
      <c r="D5" s="63">
        <f>D28</f>
        <v>22834848.25</v>
      </c>
      <c r="E5" s="63">
        <f>E28</f>
        <v>22834848</v>
      </c>
      <c r="F5" s="63">
        <f>F28</f>
        <v>0.25</v>
      </c>
    </row>
    <row r="6" spans="1:8" ht="18.75" customHeight="1" x14ac:dyDescent="0.25">
      <c r="A6" s="22" t="s">
        <v>128</v>
      </c>
      <c r="B6" s="23" t="s">
        <v>129</v>
      </c>
      <c r="C6" s="66">
        <f>SUM(C3:C5)</f>
        <v>25000000.399999999</v>
      </c>
      <c r="D6" s="66">
        <f t="shared" ref="D6:E6" si="0">SUM(D3:D5)</f>
        <v>25107348.199999999</v>
      </c>
      <c r="E6" s="66">
        <f t="shared" si="0"/>
        <v>25107348.050000001</v>
      </c>
      <c r="F6" s="66">
        <f>SUM(F3:F5)</f>
        <v>0.14999999993347046</v>
      </c>
      <c r="H6" s="3"/>
    </row>
    <row r="7" spans="1:8" ht="18.75" customHeight="1" x14ac:dyDescent="0.25">
      <c r="C7" s="68"/>
      <c r="D7" s="68"/>
      <c r="E7" s="68"/>
      <c r="F7" s="68"/>
    </row>
    <row r="8" spans="1:8" ht="31.5" x14ac:dyDescent="0.25">
      <c r="A8" s="155" t="s">
        <v>130</v>
      </c>
      <c r="B8" s="157"/>
      <c r="C8" s="65" t="s">
        <v>118</v>
      </c>
      <c r="D8" s="26" t="s">
        <v>119</v>
      </c>
      <c r="E8" s="65" t="s">
        <v>120</v>
      </c>
      <c r="F8" s="65" t="s">
        <v>121</v>
      </c>
    </row>
    <row r="9" spans="1:8" ht="18.75" customHeight="1" x14ac:dyDescent="0.25">
      <c r="A9" s="24" t="s">
        <v>131</v>
      </c>
      <c r="B9" s="25" t="s">
        <v>132</v>
      </c>
      <c r="C9" s="63">
        <v>1066559.3999999999</v>
      </c>
      <c r="D9" s="63">
        <v>1066559.3999999999</v>
      </c>
      <c r="E9" s="63">
        <v>1066559.25</v>
      </c>
      <c r="F9" s="63">
        <f>D9-E9</f>
        <v>0.14999999990686774</v>
      </c>
    </row>
    <row r="10" spans="1:8" ht="18.75" customHeight="1" x14ac:dyDescent="0.25">
      <c r="A10" s="24" t="s">
        <v>133</v>
      </c>
      <c r="B10" s="25" t="s">
        <v>134</v>
      </c>
      <c r="C10" s="63">
        <v>101088</v>
      </c>
      <c r="D10" s="63">
        <v>101088</v>
      </c>
      <c r="E10" s="63">
        <v>101088</v>
      </c>
      <c r="F10" s="63">
        <f>D10-E10</f>
        <v>0</v>
      </c>
    </row>
    <row r="11" spans="1:8" ht="18.75" customHeight="1" x14ac:dyDescent="0.25">
      <c r="A11" s="24" t="s">
        <v>135</v>
      </c>
      <c r="B11" s="25" t="s">
        <v>136</v>
      </c>
      <c r="C11" s="63">
        <v>215710</v>
      </c>
      <c r="D11" s="63">
        <v>215710</v>
      </c>
      <c r="E11" s="63">
        <v>215710</v>
      </c>
      <c r="F11" s="63">
        <f>D11-E11</f>
        <v>0</v>
      </c>
    </row>
    <row r="12" spans="1:8" ht="18.75" customHeight="1" x14ac:dyDescent="0.25">
      <c r="A12" s="155" t="s">
        <v>137</v>
      </c>
      <c r="B12" s="157"/>
      <c r="C12" s="67">
        <f>SUM(C9:C11)</f>
        <v>1383357.4</v>
      </c>
      <c r="D12" s="67">
        <f t="shared" ref="D12:F12" si="1">SUM(D9:D11)</f>
        <v>1383357.4</v>
      </c>
      <c r="E12" s="67">
        <f t="shared" si="1"/>
        <v>1383357.25</v>
      </c>
      <c r="F12" s="67">
        <f t="shared" si="1"/>
        <v>0.14999999990686774</v>
      </c>
    </row>
    <row r="13" spans="1:8" ht="18.75" customHeight="1" x14ac:dyDescent="0.25">
      <c r="C13" s="68"/>
      <c r="D13" s="68"/>
      <c r="E13" s="68"/>
      <c r="F13" s="68"/>
    </row>
    <row r="14" spans="1:8" ht="31.5" x14ac:dyDescent="0.25">
      <c r="A14" s="155" t="s">
        <v>138</v>
      </c>
      <c r="B14" s="157"/>
      <c r="C14" s="65" t="s">
        <v>118</v>
      </c>
      <c r="D14" s="26" t="s">
        <v>119</v>
      </c>
      <c r="E14" s="65" t="s">
        <v>120</v>
      </c>
      <c r="F14" s="65" t="s">
        <v>121</v>
      </c>
    </row>
    <row r="15" spans="1:8" ht="18.75" customHeight="1" x14ac:dyDescent="0.25">
      <c r="A15" s="24" t="s">
        <v>139</v>
      </c>
      <c r="B15" s="25" t="s">
        <v>132</v>
      </c>
      <c r="C15" s="149">
        <v>264843</v>
      </c>
      <c r="D15" s="149">
        <v>264843</v>
      </c>
      <c r="E15" s="63">
        <v>264843</v>
      </c>
      <c r="F15" s="63">
        <f t="shared" ref="F15:F23" si="2">D15-E15</f>
        <v>0</v>
      </c>
    </row>
    <row r="16" spans="1:8" ht="18.75" customHeight="1" x14ac:dyDescent="0.25">
      <c r="A16" s="24" t="s">
        <v>140</v>
      </c>
      <c r="B16" s="25" t="s">
        <v>141</v>
      </c>
      <c r="C16" s="149">
        <v>265000</v>
      </c>
      <c r="D16" s="149">
        <v>293800</v>
      </c>
      <c r="E16" s="63">
        <v>293314.59999999998</v>
      </c>
      <c r="F16" s="63">
        <f t="shared" si="2"/>
        <v>485.40000000002328</v>
      </c>
    </row>
    <row r="17" spans="1:10" ht="18.75" customHeight="1" x14ac:dyDescent="0.25">
      <c r="A17" s="24" t="s">
        <v>142</v>
      </c>
      <c r="B17" s="25" t="s">
        <v>143</v>
      </c>
      <c r="C17" s="149">
        <v>200000</v>
      </c>
      <c r="D17" s="149">
        <v>187500</v>
      </c>
      <c r="E17" s="63">
        <v>187500</v>
      </c>
      <c r="F17" s="63">
        <f t="shared" si="2"/>
        <v>0</v>
      </c>
    </row>
    <row r="18" spans="1:10" ht="18.75" customHeight="1" x14ac:dyDescent="0.25">
      <c r="A18" s="24" t="s">
        <v>144</v>
      </c>
      <c r="B18" s="25" t="s">
        <v>145</v>
      </c>
      <c r="C18" s="149">
        <v>102400</v>
      </c>
      <c r="D18" s="149">
        <v>103000</v>
      </c>
      <c r="E18" s="63">
        <v>103220.59</v>
      </c>
      <c r="F18" s="63">
        <f t="shared" si="2"/>
        <v>-220.58999999999651</v>
      </c>
    </row>
    <row r="19" spans="1:10" ht="18.75" customHeight="1" x14ac:dyDescent="0.25">
      <c r="A19" s="24" t="s">
        <v>144</v>
      </c>
      <c r="B19" s="25" t="s">
        <v>146</v>
      </c>
      <c r="C19" s="149">
        <v>6400</v>
      </c>
      <c r="D19" s="149">
        <f>2000-0.45</f>
        <v>1999.55</v>
      </c>
      <c r="E19" s="63">
        <v>1295</v>
      </c>
      <c r="F19" s="63">
        <f t="shared" si="2"/>
        <v>704.55</v>
      </c>
    </row>
    <row r="20" spans="1:10" ht="18.75" customHeight="1" x14ac:dyDescent="0.25">
      <c r="A20" s="24" t="s">
        <v>144</v>
      </c>
      <c r="B20" s="25" t="s">
        <v>147</v>
      </c>
      <c r="C20" s="149">
        <v>22500</v>
      </c>
      <c r="D20" s="149">
        <v>10000</v>
      </c>
      <c r="E20" s="63">
        <v>10000</v>
      </c>
      <c r="F20" s="63">
        <f t="shared" si="2"/>
        <v>0</v>
      </c>
    </row>
    <row r="21" spans="1:10" ht="18.75" customHeight="1" x14ac:dyDescent="0.25">
      <c r="A21" s="24" t="s">
        <v>144</v>
      </c>
      <c r="B21" s="25" t="s">
        <v>148</v>
      </c>
      <c r="C21" s="149">
        <v>20000</v>
      </c>
      <c r="D21" s="149">
        <v>20000</v>
      </c>
      <c r="E21" s="63">
        <v>20000</v>
      </c>
      <c r="F21" s="63">
        <f t="shared" si="2"/>
        <v>0</v>
      </c>
    </row>
    <row r="22" spans="1:10" ht="18.75" customHeight="1" x14ac:dyDescent="0.25">
      <c r="A22" s="24" t="s">
        <v>144</v>
      </c>
      <c r="B22" s="25" t="s">
        <v>149</v>
      </c>
      <c r="C22" s="149">
        <v>8000</v>
      </c>
      <c r="D22" s="149">
        <v>8000</v>
      </c>
      <c r="E22" s="63">
        <v>8482.09</v>
      </c>
      <c r="F22" s="63">
        <f t="shared" si="2"/>
        <v>-482.09000000000015</v>
      </c>
    </row>
    <row r="23" spans="1:10" ht="18.75" customHeight="1" x14ac:dyDescent="0.25">
      <c r="A23" s="24" t="s">
        <v>144</v>
      </c>
      <c r="B23" s="25" t="s">
        <v>150</v>
      </c>
      <c r="C23" s="149">
        <v>0</v>
      </c>
      <c r="D23" s="149">
        <v>0</v>
      </c>
      <c r="E23" s="63">
        <v>487.52</v>
      </c>
      <c r="F23" s="63">
        <f t="shared" si="2"/>
        <v>-487.52</v>
      </c>
    </row>
    <row r="24" spans="1:10" ht="18.75" customHeight="1" x14ac:dyDescent="0.25">
      <c r="A24" s="155" t="s">
        <v>151</v>
      </c>
      <c r="B24" s="157"/>
      <c r="C24" s="67">
        <f>SUM(C15:C23)</f>
        <v>889143</v>
      </c>
      <c r="D24" s="67">
        <f t="shared" ref="D24:F24" si="3">SUM(D15:D23)</f>
        <v>889142.55</v>
      </c>
      <c r="E24" s="67">
        <f t="shared" si="3"/>
        <v>889142.79999999993</v>
      </c>
      <c r="F24" s="67">
        <f t="shared" si="3"/>
        <v>-0.24999999997339728</v>
      </c>
      <c r="H24" s="3"/>
      <c r="J24" s="3"/>
    </row>
    <row r="25" spans="1:10" ht="18.75" customHeight="1" x14ac:dyDescent="0.25"/>
    <row r="26" spans="1:10" ht="31.5" x14ac:dyDescent="0.25">
      <c r="A26" s="155" t="s">
        <v>152</v>
      </c>
      <c r="B26" s="157"/>
      <c r="C26" s="65" t="s">
        <v>118</v>
      </c>
      <c r="D26" s="26" t="s">
        <v>119</v>
      </c>
      <c r="E26" s="65" t="s">
        <v>120</v>
      </c>
      <c r="F26" s="65" t="s">
        <v>121</v>
      </c>
    </row>
    <row r="27" spans="1:10" ht="18.75" customHeight="1" x14ac:dyDescent="0.25">
      <c r="A27" s="24" t="s">
        <v>126</v>
      </c>
      <c r="B27" s="25" t="s">
        <v>153</v>
      </c>
      <c r="C27" s="63">
        <v>22727500</v>
      </c>
      <c r="D27" s="63">
        <f>22727500.15+107348-2100.9+2000+101</f>
        <v>22834848.25</v>
      </c>
      <c r="E27" s="63">
        <v>22834848</v>
      </c>
      <c r="F27" s="63">
        <f t="shared" ref="F27" si="4">D27-E27</f>
        <v>0.25</v>
      </c>
    </row>
    <row r="28" spans="1:10" ht="20.25" customHeight="1" x14ac:dyDescent="0.25">
      <c r="A28" s="155" t="s">
        <v>154</v>
      </c>
      <c r="B28" s="157"/>
      <c r="C28" s="67">
        <f>SUM(C27)</f>
        <v>22727500</v>
      </c>
      <c r="D28" s="67">
        <f t="shared" ref="D28:F28" si="5">SUM(D27)</f>
        <v>22834848.25</v>
      </c>
      <c r="E28" s="67">
        <f t="shared" si="5"/>
        <v>22834848</v>
      </c>
      <c r="F28" s="67">
        <f t="shared" si="5"/>
        <v>0.25</v>
      </c>
    </row>
    <row r="29" spans="1:10" ht="18.75" customHeight="1" x14ac:dyDescent="0.25"/>
    <row r="30" spans="1:10" ht="18.75" customHeight="1" x14ac:dyDescent="0.25">
      <c r="A30" s="160" t="s">
        <v>155</v>
      </c>
      <c r="B30" s="161"/>
      <c r="C30" s="66">
        <f>C12+C24+C28</f>
        <v>25000000.399999999</v>
      </c>
      <c r="D30" s="66">
        <f t="shared" ref="D30:F30" si="6">D12+D24+D28</f>
        <v>25107348.199999999</v>
      </c>
      <c r="E30" s="66">
        <f t="shared" si="6"/>
        <v>25107348.050000001</v>
      </c>
      <c r="F30" s="66">
        <f t="shared" si="6"/>
        <v>0.14999999993347046</v>
      </c>
      <c r="H30" s="3"/>
      <c r="I30" s="3"/>
    </row>
    <row r="31" spans="1:10" ht="18.75" customHeight="1" x14ac:dyDescent="0.25"/>
    <row r="32" spans="1:10" ht="32.25" customHeight="1" x14ac:dyDescent="0.25">
      <c r="A32" s="155" t="s">
        <v>117</v>
      </c>
      <c r="B32" s="157"/>
      <c r="C32" s="65" t="s">
        <v>156</v>
      </c>
      <c r="D32" s="65" t="s">
        <v>157</v>
      </c>
      <c r="E32" s="65" t="s">
        <v>158</v>
      </c>
    </row>
    <row r="33" spans="1:5" ht="18.75" customHeight="1" x14ac:dyDescent="0.25">
      <c r="A33" s="20" t="s">
        <v>122</v>
      </c>
      <c r="B33" s="21" t="s">
        <v>123</v>
      </c>
      <c r="C33" s="64">
        <f>C3/$C$6</f>
        <v>5.533429511465128E-2</v>
      </c>
      <c r="D33" s="64">
        <f>D3/$D$6</f>
        <v>5.5097710398583626E-2</v>
      </c>
      <c r="E33" s="64">
        <f>E3/$E$6</f>
        <v>5.5097704753409825E-2</v>
      </c>
    </row>
    <row r="34" spans="1:5" ht="18.75" customHeight="1" x14ac:dyDescent="0.25">
      <c r="A34" s="20" t="s">
        <v>124</v>
      </c>
      <c r="B34" s="21" t="s">
        <v>125</v>
      </c>
      <c r="C34" s="64">
        <f t="shared" ref="C34:C35" si="7">C4/$C$6</f>
        <v>3.5565719430948488E-2</v>
      </c>
      <c r="D34" s="64">
        <f>D4/$D$6</f>
        <v>3.5413638386550123E-2</v>
      </c>
      <c r="E34" s="64">
        <f>E4/$E$6</f>
        <v>3.5413648555367834E-2</v>
      </c>
    </row>
    <row r="35" spans="1:5" ht="18.75" customHeight="1" x14ac:dyDescent="0.25">
      <c r="A35" s="20" t="s">
        <v>126</v>
      </c>
      <c r="B35" s="21" t="s">
        <v>127</v>
      </c>
      <c r="C35" s="64">
        <f t="shared" si="7"/>
        <v>0.90909998545440029</v>
      </c>
      <c r="D35" s="64">
        <f>D5/$D$6</f>
        <v>0.90948865121486633</v>
      </c>
      <c r="E35" s="64">
        <f>E5/$E$6</f>
        <v>0.90948864669122231</v>
      </c>
    </row>
    <row r="36" spans="1:5" ht="18.75" customHeight="1" x14ac:dyDescent="0.25">
      <c r="A36" s="22" t="s">
        <v>128</v>
      </c>
      <c r="B36" s="23" t="s">
        <v>129</v>
      </c>
      <c r="C36" s="27">
        <f>SUM(C33:C35)</f>
        <v>1</v>
      </c>
      <c r="D36" s="27">
        <f>SUM(D33:D35)</f>
        <v>1</v>
      </c>
      <c r="E36" s="27">
        <f>SUM(E33:E35)</f>
        <v>1</v>
      </c>
    </row>
    <row r="37" spans="1:5" ht="18.75" customHeight="1" x14ac:dyDescent="0.25"/>
    <row r="38" spans="1:5" ht="18.75" customHeight="1" x14ac:dyDescent="0.25">
      <c r="A38" s="155" t="s">
        <v>159</v>
      </c>
      <c r="B38" s="156"/>
      <c r="C38" s="157"/>
      <c r="D38" s="62"/>
    </row>
    <row r="39" spans="1:5" ht="18.75" customHeight="1" x14ac:dyDescent="0.25">
      <c r="A39" s="10" t="s">
        <v>160</v>
      </c>
      <c r="B39" s="16" t="s">
        <v>161</v>
      </c>
      <c r="C39" s="63">
        <v>1645604.36</v>
      </c>
      <c r="D39" s="62"/>
    </row>
    <row r="40" spans="1:5" ht="18.75" customHeight="1" x14ac:dyDescent="0.25">
      <c r="A40" s="10" t="s">
        <v>160</v>
      </c>
      <c r="B40" s="16" t="s">
        <v>162</v>
      </c>
      <c r="C40" s="63">
        <v>2380469</v>
      </c>
      <c r="D40" s="62"/>
    </row>
    <row r="41" spans="1:5" ht="18.75" customHeight="1" x14ac:dyDescent="0.25">
      <c r="A41" s="10" t="s">
        <v>160</v>
      </c>
      <c r="B41" s="16" t="s">
        <v>163</v>
      </c>
      <c r="C41" s="63">
        <v>-671710.89</v>
      </c>
      <c r="D41" s="62"/>
    </row>
    <row r="42" spans="1:5" ht="18.75" customHeight="1" x14ac:dyDescent="0.25">
      <c r="A42" s="10" t="s">
        <v>164</v>
      </c>
      <c r="B42" s="16" t="s">
        <v>165</v>
      </c>
      <c r="C42" s="63">
        <v>101624</v>
      </c>
      <c r="D42" s="62"/>
    </row>
    <row r="43" spans="1:5" ht="18.75" customHeight="1" x14ac:dyDescent="0.25">
      <c r="A43" s="10" t="s">
        <v>164</v>
      </c>
      <c r="B43" s="16" t="s">
        <v>166</v>
      </c>
      <c r="C43" s="63">
        <v>1383429.84</v>
      </c>
      <c r="D43" s="62"/>
    </row>
    <row r="44" spans="1:5" ht="18.75" customHeight="1" x14ac:dyDescent="0.25">
      <c r="A44" s="10" t="s">
        <v>164</v>
      </c>
      <c r="B44" s="16" t="s">
        <v>167</v>
      </c>
      <c r="C44" s="63">
        <v>1869308.63</v>
      </c>
      <c r="D44" s="62"/>
    </row>
    <row r="45" spans="1:5" ht="18.75" customHeight="1" x14ac:dyDescent="0.25">
      <c r="A45" s="158" t="s">
        <v>168</v>
      </c>
      <c r="B45" s="159"/>
      <c r="C45" s="72">
        <f>SUM(C39:C41)-SUM(C42:C44)</f>
        <v>0</v>
      </c>
      <c r="D45" s="62"/>
    </row>
  </sheetData>
  <mergeCells count="12">
    <mergeCell ref="A1:F1"/>
    <mergeCell ref="A2:B2"/>
    <mergeCell ref="A8:B8"/>
    <mergeCell ref="A12:B12"/>
    <mergeCell ref="A14:B14"/>
    <mergeCell ref="A38:C38"/>
    <mergeCell ref="A45:B45"/>
    <mergeCell ref="A24:B24"/>
    <mergeCell ref="A26:B26"/>
    <mergeCell ref="A28:B28"/>
    <mergeCell ref="A30:B30"/>
    <mergeCell ref="A32:B32"/>
  </mergeCells>
  <pageMargins left="0.70866141732283472" right="0.70866141732283472" top="0.74803149606299213" bottom="0.74803149606299213" header="0.31496062992125984" footer="0.31496062992125984"/>
  <pageSetup paperSize="9" scale="86" orientation="portrait" horizontalDpi="1200" verticalDpi="1200" r:id="rId1"/>
  <headerFooter>
    <oddHeader>&amp;C&amp;F&amp;R&amp;A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/>
    <pageSetUpPr fitToPage="1"/>
  </sheetPr>
  <dimension ref="A1:H45"/>
  <sheetViews>
    <sheetView showGridLines="0" zoomScale="90" zoomScaleNormal="90" workbookViewId="0">
      <selection activeCell="C45" sqref="C45"/>
    </sheetView>
  </sheetViews>
  <sheetFormatPr defaultRowHeight="15" x14ac:dyDescent="0.25"/>
  <cols>
    <col min="1" max="1" width="13.85546875" customWidth="1"/>
    <col min="2" max="2" width="53.85546875" customWidth="1"/>
    <col min="3" max="3" width="15.5703125" bestFit="1" customWidth="1"/>
    <col min="4" max="4" width="13.85546875" customWidth="1"/>
    <col min="5" max="5" width="15" bestFit="1" customWidth="1"/>
    <col min="6" max="6" width="10.85546875" customWidth="1"/>
  </cols>
  <sheetData>
    <row r="1" spans="1:8" ht="21" x14ac:dyDescent="0.35">
      <c r="A1" s="162" t="s">
        <v>169</v>
      </c>
      <c r="B1" s="162"/>
      <c r="C1" s="162"/>
      <c r="D1" s="162"/>
      <c r="E1" s="162"/>
      <c r="F1" s="162"/>
    </row>
    <row r="2" spans="1:8" ht="31.5" x14ac:dyDescent="0.25">
      <c r="A2" s="163" t="s">
        <v>117</v>
      </c>
      <c r="B2" s="163"/>
      <c r="C2" s="26" t="s">
        <v>118</v>
      </c>
      <c r="D2" s="26" t="s">
        <v>119</v>
      </c>
      <c r="E2" s="26" t="s">
        <v>120</v>
      </c>
      <c r="F2" s="26" t="s">
        <v>121</v>
      </c>
    </row>
    <row r="3" spans="1:8" ht="15.75" x14ac:dyDescent="0.25">
      <c r="A3" s="20" t="s">
        <v>122</v>
      </c>
      <c r="B3" s="21" t="s">
        <v>123</v>
      </c>
      <c r="C3" s="28">
        <f>C12</f>
        <v>1458333</v>
      </c>
      <c r="D3" s="28">
        <f>D12</f>
        <v>1461833</v>
      </c>
      <c r="E3" s="28">
        <f>E12</f>
        <v>1282012.2199999997</v>
      </c>
      <c r="F3" s="28">
        <f t="shared" ref="F3:F5" si="0">D3-E3</f>
        <v>179820.78000000026</v>
      </c>
    </row>
    <row r="4" spans="1:8" ht="15.75" x14ac:dyDescent="0.25">
      <c r="A4" s="20" t="s">
        <v>124</v>
      </c>
      <c r="B4" s="21" t="s">
        <v>125</v>
      </c>
      <c r="C4" s="28">
        <f>C24</f>
        <v>2708333</v>
      </c>
      <c r="D4" s="28">
        <f>D24</f>
        <v>2704990</v>
      </c>
      <c r="E4" s="28">
        <f>E24</f>
        <v>2884811.16</v>
      </c>
      <c r="F4" s="28">
        <f t="shared" si="0"/>
        <v>-179821.16000000015</v>
      </c>
    </row>
    <row r="5" spans="1:8" ht="15.75" x14ac:dyDescent="0.25">
      <c r="A5" s="20" t="s">
        <v>126</v>
      </c>
      <c r="B5" s="21" t="s">
        <v>170</v>
      </c>
      <c r="C5" s="28">
        <f>C28</f>
        <v>20833334</v>
      </c>
      <c r="D5" s="28">
        <f>D28</f>
        <v>20833334</v>
      </c>
      <c r="E5" s="28">
        <f>E28</f>
        <v>20833333.649999999</v>
      </c>
      <c r="F5" s="28">
        <f t="shared" si="0"/>
        <v>0.35000000149011612</v>
      </c>
    </row>
    <row r="6" spans="1:8" ht="15.75" x14ac:dyDescent="0.25">
      <c r="A6" s="22" t="s">
        <v>128</v>
      </c>
      <c r="B6" s="23" t="s">
        <v>129</v>
      </c>
      <c r="C6" s="29">
        <f>SUM(C3:C5)</f>
        <v>25000000</v>
      </c>
      <c r="D6" s="29">
        <f>SUM(D3:D5)</f>
        <v>25000157</v>
      </c>
      <c r="E6" s="29">
        <f>SUM(E3:E5)</f>
        <v>25000157.029999997</v>
      </c>
      <c r="F6" s="29">
        <f>SUM(F3:F5)</f>
        <v>-2.9999998398125172E-2</v>
      </c>
    </row>
    <row r="7" spans="1:8" x14ac:dyDescent="0.25">
      <c r="C7" s="30"/>
      <c r="D7" s="30"/>
      <c r="E7" s="30"/>
      <c r="F7" s="30"/>
      <c r="H7" t="s">
        <v>16</v>
      </c>
    </row>
    <row r="8" spans="1:8" ht="31.5" x14ac:dyDescent="0.25">
      <c r="A8" s="163" t="s">
        <v>130</v>
      </c>
      <c r="B8" s="163"/>
      <c r="C8" s="31" t="s">
        <v>118</v>
      </c>
      <c r="D8" s="26" t="s">
        <v>119</v>
      </c>
      <c r="E8" s="31" t="s">
        <v>120</v>
      </c>
      <c r="F8" s="31" t="s">
        <v>121</v>
      </c>
    </row>
    <row r="9" spans="1:8" ht="15.75" x14ac:dyDescent="0.25">
      <c r="A9" s="24" t="s">
        <v>131</v>
      </c>
      <c r="B9" s="25" t="s">
        <v>171</v>
      </c>
      <c r="C9" s="150">
        <v>836500</v>
      </c>
      <c r="D9" s="150">
        <v>836500</v>
      </c>
      <c r="E9" s="150">
        <v>660994.84999999986</v>
      </c>
      <c r="F9" s="28">
        <f>D9-E9</f>
        <v>175505.15000000014</v>
      </c>
    </row>
    <row r="10" spans="1:8" ht="15.75" x14ac:dyDescent="0.25">
      <c r="A10" s="24" t="s">
        <v>133</v>
      </c>
      <c r="B10" s="25" t="s">
        <v>141</v>
      </c>
      <c r="C10" s="150">
        <v>432000</v>
      </c>
      <c r="D10" s="150">
        <v>435500</v>
      </c>
      <c r="E10" s="150">
        <v>431236.87</v>
      </c>
      <c r="F10" s="28">
        <f>D10-E10</f>
        <v>4263.1300000000047</v>
      </c>
    </row>
    <row r="11" spans="1:8" ht="15.75" x14ac:dyDescent="0.25">
      <c r="A11" s="24" t="s">
        <v>135</v>
      </c>
      <c r="B11" s="25" t="s">
        <v>136</v>
      </c>
      <c r="C11" s="150">
        <v>189833</v>
      </c>
      <c r="D11" s="150">
        <v>189833</v>
      </c>
      <c r="E11" s="150">
        <v>189780.5</v>
      </c>
      <c r="F11" s="28">
        <f>D11-E11</f>
        <v>52.5</v>
      </c>
    </row>
    <row r="12" spans="1:8" ht="15.75" x14ac:dyDescent="0.25">
      <c r="A12" s="163" t="s">
        <v>137</v>
      </c>
      <c r="B12" s="163"/>
      <c r="C12" s="32">
        <f>SUM(C9:C11)</f>
        <v>1458333</v>
      </c>
      <c r="D12" s="32">
        <f>SUM(D9:D11)</f>
        <v>1461833</v>
      </c>
      <c r="E12" s="32">
        <f>SUM(E9:E11)</f>
        <v>1282012.2199999997</v>
      </c>
      <c r="F12" s="32">
        <f>SUM(F9:F11)</f>
        <v>179820.78000000014</v>
      </c>
    </row>
    <row r="13" spans="1:8" x14ac:dyDescent="0.25">
      <c r="C13" s="30"/>
      <c r="D13" s="30"/>
      <c r="E13" s="30"/>
      <c r="F13" s="30"/>
    </row>
    <row r="14" spans="1:8" ht="31.5" x14ac:dyDescent="0.25">
      <c r="A14" s="163" t="s">
        <v>138</v>
      </c>
      <c r="B14" s="163"/>
      <c r="C14" s="31" t="s">
        <v>118</v>
      </c>
      <c r="D14" s="26" t="s">
        <v>119</v>
      </c>
      <c r="E14" s="31" t="s">
        <v>120</v>
      </c>
      <c r="F14" s="31" t="s">
        <v>121</v>
      </c>
    </row>
    <row r="15" spans="1:8" ht="15.75" x14ac:dyDescent="0.25">
      <c r="A15" s="24" t="s">
        <v>139</v>
      </c>
      <c r="B15" s="25" t="s">
        <v>171</v>
      </c>
      <c r="C15" s="150">
        <v>1013100</v>
      </c>
      <c r="D15" s="150">
        <v>1013100</v>
      </c>
      <c r="E15" s="150">
        <v>1195941.57</v>
      </c>
      <c r="F15" s="28">
        <f t="shared" ref="F15:F23" si="1">D15-E15</f>
        <v>-182841.57000000007</v>
      </c>
    </row>
    <row r="16" spans="1:8" ht="15.75" x14ac:dyDescent="0.25">
      <c r="A16" s="24" t="s">
        <v>172</v>
      </c>
      <c r="B16" s="25" t="s">
        <v>173</v>
      </c>
      <c r="C16" s="150">
        <v>230000</v>
      </c>
      <c r="D16" s="150">
        <v>261500</v>
      </c>
      <c r="E16" s="150">
        <v>262234.13</v>
      </c>
      <c r="F16" s="28">
        <f t="shared" si="1"/>
        <v>-734.13000000000466</v>
      </c>
    </row>
    <row r="17" spans="1:6" ht="15.75" x14ac:dyDescent="0.25">
      <c r="A17" s="24" t="s">
        <v>174</v>
      </c>
      <c r="B17" s="25" t="s">
        <v>175</v>
      </c>
      <c r="C17" s="150">
        <v>30000</v>
      </c>
      <c r="D17" s="150">
        <v>30000</v>
      </c>
      <c r="E17" s="150">
        <v>17125</v>
      </c>
      <c r="F17" s="28">
        <f t="shared" si="1"/>
        <v>12875</v>
      </c>
    </row>
    <row r="18" spans="1:6" ht="15.75" x14ac:dyDescent="0.25">
      <c r="A18" s="24" t="s">
        <v>176</v>
      </c>
      <c r="B18" s="25" t="s">
        <v>177</v>
      </c>
      <c r="C18" s="150">
        <v>31500</v>
      </c>
      <c r="D18" s="150">
        <v>10000</v>
      </c>
      <c r="E18" s="150">
        <v>10222.19</v>
      </c>
      <c r="F18" s="28">
        <f t="shared" si="1"/>
        <v>-222.19000000000051</v>
      </c>
    </row>
    <row r="19" spans="1:6" ht="15.75" x14ac:dyDescent="0.25">
      <c r="A19" s="24" t="s">
        <v>178</v>
      </c>
      <c r="B19" s="25" t="s">
        <v>179</v>
      </c>
      <c r="C19" s="150">
        <v>14300</v>
      </c>
      <c r="D19" s="150">
        <v>14300</v>
      </c>
      <c r="E19" s="150">
        <v>16294.52</v>
      </c>
      <c r="F19" s="28">
        <f t="shared" si="1"/>
        <v>-1994.5200000000004</v>
      </c>
    </row>
    <row r="20" spans="1:6" ht="15.75" x14ac:dyDescent="0.25">
      <c r="A20" s="24" t="s">
        <v>180</v>
      </c>
      <c r="B20" s="25" t="s">
        <v>181</v>
      </c>
      <c r="C20" s="150">
        <v>264433</v>
      </c>
      <c r="D20" s="150">
        <v>413890</v>
      </c>
      <c r="E20" s="150">
        <v>485076.56</v>
      </c>
      <c r="F20" s="28">
        <f t="shared" si="1"/>
        <v>-71186.559999999998</v>
      </c>
    </row>
    <row r="21" spans="1:6" ht="15.75" x14ac:dyDescent="0.25">
      <c r="A21" s="24" t="s">
        <v>182</v>
      </c>
      <c r="B21" s="25" t="s">
        <v>183</v>
      </c>
      <c r="C21" s="150">
        <v>425000</v>
      </c>
      <c r="D21" s="150">
        <v>575200</v>
      </c>
      <c r="E21" s="150">
        <v>549202.44000000006</v>
      </c>
      <c r="F21" s="28">
        <f t="shared" si="1"/>
        <v>25997.559999999939</v>
      </c>
    </row>
    <row r="22" spans="1:6" ht="15.75" x14ac:dyDescent="0.25">
      <c r="A22" s="24" t="s">
        <v>184</v>
      </c>
      <c r="B22" s="25" t="s">
        <v>185</v>
      </c>
      <c r="C22" s="150">
        <v>350000</v>
      </c>
      <c r="D22" s="150">
        <v>215000</v>
      </c>
      <c r="E22" s="150">
        <v>189214.75</v>
      </c>
      <c r="F22" s="28">
        <f t="shared" si="1"/>
        <v>25785.25</v>
      </c>
    </row>
    <row r="23" spans="1:6" ht="17.45" customHeight="1" x14ac:dyDescent="0.25">
      <c r="A23" s="24" t="s">
        <v>186</v>
      </c>
      <c r="B23" s="25" t="s">
        <v>187</v>
      </c>
      <c r="C23" s="150">
        <v>350000</v>
      </c>
      <c r="D23" s="150">
        <v>172000</v>
      </c>
      <c r="E23" s="150">
        <v>159500</v>
      </c>
      <c r="F23" s="28">
        <f t="shared" si="1"/>
        <v>12500</v>
      </c>
    </row>
    <row r="24" spans="1:6" ht="15.75" x14ac:dyDescent="0.25">
      <c r="A24" s="163" t="s">
        <v>151</v>
      </c>
      <c r="B24" s="163"/>
      <c r="C24" s="32">
        <f>SUM(C15:C23)</f>
        <v>2708333</v>
      </c>
      <c r="D24" s="32">
        <f>SUM(D15:D23)</f>
        <v>2704990</v>
      </c>
      <c r="E24" s="32">
        <f>SUM(E15:E23)</f>
        <v>2884811.16</v>
      </c>
      <c r="F24" s="32">
        <f>SUM(F15:F23)</f>
        <v>-179821.16000000012</v>
      </c>
    </row>
    <row r="25" spans="1:6" x14ac:dyDescent="0.25">
      <c r="C25" s="33"/>
      <c r="D25" s="33"/>
      <c r="E25" s="33"/>
      <c r="F25" s="33"/>
    </row>
    <row r="26" spans="1:6" ht="31.5" x14ac:dyDescent="0.25">
      <c r="A26" s="163" t="s">
        <v>188</v>
      </c>
      <c r="B26" s="163"/>
      <c r="C26" s="31" t="s">
        <v>118</v>
      </c>
      <c r="D26" s="26" t="s">
        <v>119</v>
      </c>
      <c r="E26" s="31" t="s">
        <v>120</v>
      </c>
      <c r="F26" s="31" t="s">
        <v>121</v>
      </c>
    </row>
    <row r="27" spans="1:6" ht="15.75" x14ac:dyDescent="0.25">
      <c r="A27" s="24" t="s">
        <v>126</v>
      </c>
      <c r="B27" s="25" t="s">
        <v>189</v>
      </c>
      <c r="C27" s="150">
        <v>20833334</v>
      </c>
      <c r="D27" s="150">
        <v>20833334</v>
      </c>
      <c r="E27" s="150">
        <v>20833333.649999999</v>
      </c>
      <c r="F27" s="28">
        <f>D27-E27</f>
        <v>0.35000000149011612</v>
      </c>
    </row>
    <row r="28" spans="1:6" ht="15.75" x14ac:dyDescent="0.25">
      <c r="A28" s="163" t="s">
        <v>190</v>
      </c>
      <c r="B28" s="163"/>
      <c r="C28" s="32">
        <f>SUM(C27:C27)</f>
        <v>20833334</v>
      </c>
      <c r="D28" s="32">
        <f>SUM(D27:D27)</f>
        <v>20833334</v>
      </c>
      <c r="E28" s="32">
        <f>SUM(E27:E27)</f>
        <v>20833333.649999999</v>
      </c>
      <c r="F28" s="32">
        <f>SUM(F27:F27)</f>
        <v>0.35000000149011612</v>
      </c>
    </row>
    <row r="29" spans="1:6" x14ac:dyDescent="0.25">
      <c r="C29" s="33"/>
      <c r="D29" s="33"/>
      <c r="E29" s="33"/>
      <c r="F29" s="33"/>
    </row>
    <row r="30" spans="1:6" ht="15.75" x14ac:dyDescent="0.25">
      <c r="A30" s="167" t="s">
        <v>155</v>
      </c>
      <c r="B30" s="167"/>
      <c r="C30" s="29">
        <f>C12+C24+C28</f>
        <v>25000000</v>
      </c>
      <c r="D30" s="29">
        <f>D12+D24+D28</f>
        <v>25000157</v>
      </c>
      <c r="E30" s="29">
        <f>E12+E24+E28</f>
        <v>25000157.029999997</v>
      </c>
      <c r="F30" s="29">
        <f>F12+F24+F28</f>
        <v>-2.9999998485436663E-2</v>
      </c>
    </row>
    <row r="32" spans="1:6" ht="31.5" x14ac:dyDescent="0.25">
      <c r="A32" s="163" t="s">
        <v>117</v>
      </c>
      <c r="B32" s="163"/>
      <c r="C32" s="26" t="s">
        <v>156</v>
      </c>
      <c r="D32" s="26" t="s">
        <v>119</v>
      </c>
      <c r="E32" s="26" t="s">
        <v>158</v>
      </c>
    </row>
    <row r="33" spans="1:5" ht="15.75" x14ac:dyDescent="0.25">
      <c r="A33" s="20" t="s">
        <v>122</v>
      </c>
      <c r="B33" s="21" t="s">
        <v>123</v>
      </c>
      <c r="C33" s="34">
        <f t="shared" ref="C33:C35" si="2">C3/$C$6</f>
        <v>5.8333320000000001E-2</v>
      </c>
      <c r="D33" s="34">
        <f>D3/$D$6</f>
        <v>5.847295278985648E-2</v>
      </c>
      <c r="E33" s="34">
        <f>E3/$E$6</f>
        <v>5.1280166699016923E-2</v>
      </c>
    </row>
    <row r="34" spans="1:5" ht="15.75" x14ac:dyDescent="0.25">
      <c r="A34" s="20" t="s">
        <v>124</v>
      </c>
      <c r="B34" s="21" t="s">
        <v>191</v>
      </c>
      <c r="C34" s="34">
        <f t="shared" si="2"/>
        <v>0.10833332</v>
      </c>
      <c r="D34" s="34">
        <f t="shared" ref="D34:D35" si="3">D4/$D$6</f>
        <v>0.10819892051077919</v>
      </c>
      <c r="E34" s="34">
        <f>E4/$E$6</f>
        <v>0.1153917216015183</v>
      </c>
    </row>
    <row r="35" spans="1:5" ht="15.75" x14ac:dyDescent="0.25">
      <c r="A35" s="20" t="s">
        <v>126</v>
      </c>
      <c r="B35" s="21" t="s">
        <v>170</v>
      </c>
      <c r="C35" s="34">
        <f t="shared" si="2"/>
        <v>0.83333336000000002</v>
      </c>
      <c r="D35" s="34">
        <f t="shared" si="3"/>
        <v>0.83332812669936429</v>
      </c>
      <c r="E35" s="34">
        <f>E5/$E$6</f>
        <v>0.83332811169946486</v>
      </c>
    </row>
    <row r="36" spans="1:5" ht="15.75" x14ac:dyDescent="0.25">
      <c r="A36" s="22" t="s">
        <v>128</v>
      </c>
      <c r="B36" s="23" t="s">
        <v>129</v>
      </c>
      <c r="C36" s="27">
        <f>SUM(C33:C35)</f>
        <v>1</v>
      </c>
      <c r="D36" s="27">
        <f>SUM(D33:D35)</f>
        <v>1</v>
      </c>
      <c r="E36" s="27">
        <f>SUM(E33:E35)</f>
        <v>1</v>
      </c>
    </row>
    <row r="38" spans="1:5" ht="15.75" x14ac:dyDescent="0.25">
      <c r="A38" s="164" t="s">
        <v>192</v>
      </c>
      <c r="B38" s="165"/>
      <c r="C38" s="166"/>
      <c r="D38" s="58"/>
    </row>
    <row r="39" spans="1:5" ht="15.75" x14ac:dyDescent="0.25">
      <c r="A39" s="10" t="s">
        <v>160</v>
      </c>
      <c r="B39" s="16" t="s">
        <v>193</v>
      </c>
      <c r="C39" s="28">
        <v>13514073.58</v>
      </c>
      <c r="D39" s="57"/>
    </row>
    <row r="40" spans="1:5" ht="15.75" x14ac:dyDescent="0.25">
      <c r="A40" s="10" t="s">
        <v>160</v>
      </c>
      <c r="B40" s="16" t="s">
        <v>162</v>
      </c>
      <c r="C40" s="28">
        <v>4166824</v>
      </c>
      <c r="D40" s="57"/>
    </row>
    <row r="41" spans="1:5" ht="15.75" x14ac:dyDescent="0.25">
      <c r="A41" s="10" t="s">
        <v>160</v>
      </c>
      <c r="B41" s="16" t="s">
        <v>163</v>
      </c>
      <c r="C41" s="28">
        <v>-386377.08999999985</v>
      </c>
      <c r="D41" s="57"/>
    </row>
    <row r="42" spans="1:5" ht="15.75" x14ac:dyDescent="0.25">
      <c r="A42" s="10" t="s">
        <v>164</v>
      </c>
      <c r="B42" s="16" t="s">
        <v>194</v>
      </c>
      <c r="C42" s="28">
        <v>15894615</v>
      </c>
      <c r="D42" s="57"/>
    </row>
    <row r="43" spans="1:5" ht="15.75" x14ac:dyDescent="0.25">
      <c r="A43" s="10" t="s">
        <v>164</v>
      </c>
      <c r="B43" s="16" t="s">
        <v>166</v>
      </c>
      <c r="C43" s="28">
        <v>519641.18</v>
      </c>
      <c r="D43" s="57"/>
    </row>
    <row r="44" spans="1:5" ht="15.75" x14ac:dyDescent="0.25">
      <c r="A44" s="10" t="s">
        <v>164</v>
      </c>
      <c r="B44" s="16" t="s">
        <v>167</v>
      </c>
      <c r="C44" s="28">
        <v>880264</v>
      </c>
      <c r="D44" s="57"/>
    </row>
    <row r="45" spans="1:5" ht="15.75" x14ac:dyDescent="0.25">
      <c r="A45" s="158" t="s">
        <v>168</v>
      </c>
      <c r="B45" s="159"/>
      <c r="C45" s="151">
        <f>SUM(C39:C41)-SUM(C42:C44)</f>
        <v>0.30999999865889549</v>
      </c>
      <c r="D45" s="57"/>
    </row>
  </sheetData>
  <mergeCells count="12">
    <mergeCell ref="A32:B32"/>
    <mergeCell ref="A38:C38"/>
    <mergeCell ref="A45:B45"/>
    <mergeCell ref="A1:F1"/>
    <mergeCell ref="A2:B2"/>
    <mergeCell ref="A8:B8"/>
    <mergeCell ref="A12:B12"/>
    <mergeCell ref="A14:B14"/>
    <mergeCell ref="A24:B24"/>
    <mergeCell ref="A26:B26"/>
    <mergeCell ref="A28:B28"/>
    <mergeCell ref="A30:B30"/>
  </mergeCells>
  <printOptions horizontalCentered="1"/>
  <pageMargins left="0.35433070866141736" right="0.31496062992125984" top="0.74803149606299213" bottom="0.74803149606299213" header="0.31496062992125984" footer="0.31496062992125984"/>
  <pageSetup paperSize="9" scale="79" orientation="portrait" verticalDpi="1200" r:id="rId1"/>
  <headerFooter>
    <oddHeader>&amp;C&amp;F&amp;R&amp;A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F2E36-2270-4BED-8659-142A89E7D0A9}">
  <sheetPr>
    <tabColor theme="6"/>
  </sheetPr>
  <dimension ref="A1:E28"/>
  <sheetViews>
    <sheetView workbookViewId="0">
      <selection activeCell="C8" sqref="C8"/>
    </sheetView>
  </sheetViews>
  <sheetFormatPr defaultColWidth="8.7109375" defaultRowHeight="15" x14ac:dyDescent="0.25"/>
  <cols>
    <col min="1" max="1" width="11.42578125" style="4" customWidth="1"/>
    <col min="2" max="2" width="43" style="4" customWidth="1"/>
    <col min="3" max="3" width="14" style="4" bestFit="1" customWidth="1"/>
    <col min="4" max="4" width="0.85546875" style="4" customWidth="1"/>
    <col min="5" max="5" width="11.42578125" style="4" bestFit="1" customWidth="1"/>
    <col min="6" max="6" width="12.140625" style="4" bestFit="1" customWidth="1"/>
    <col min="7" max="16384" width="8.7109375" style="4"/>
  </cols>
  <sheetData>
    <row r="1" spans="1:5" ht="18.75" x14ac:dyDescent="0.25">
      <c r="A1" s="168" t="s">
        <v>195</v>
      </c>
      <c r="B1" s="169"/>
      <c r="C1" s="169"/>
      <c r="D1" s="169"/>
      <c r="E1" s="169"/>
    </row>
    <row r="2" spans="1:5" ht="17.25" customHeight="1" x14ac:dyDescent="0.25"/>
    <row r="3" spans="1:5" x14ac:dyDescent="0.25">
      <c r="A3" s="113" t="s">
        <v>196</v>
      </c>
      <c r="B3" s="114" t="s">
        <v>197</v>
      </c>
      <c r="C3" s="113" t="s">
        <v>198</v>
      </c>
      <c r="D3" s="5"/>
      <c r="E3" s="113" t="s">
        <v>199</v>
      </c>
    </row>
    <row r="4" spans="1:5" x14ac:dyDescent="0.25">
      <c r="A4" s="115">
        <v>1</v>
      </c>
      <c r="B4" s="116" t="s">
        <v>200</v>
      </c>
      <c r="C4" s="118">
        <v>82249.149999999994</v>
      </c>
      <c r="D4" s="124"/>
      <c r="E4" s="118">
        <f>C4*$E$28</f>
        <v>611719.77489927318</v>
      </c>
    </row>
    <row r="5" spans="1:5" x14ac:dyDescent="0.25">
      <c r="A5" s="115">
        <v>2</v>
      </c>
      <c r="B5" s="117" t="s">
        <v>201</v>
      </c>
      <c r="C5" s="119">
        <v>701.02</v>
      </c>
      <c r="D5" s="124"/>
      <c r="E5" s="118">
        <f t="shared" ref="E5:E8" si="0">C5*$E$28</f>
        <v>5213.7656936258727</v>
      </c>
    </row>
    <row r="6" spans="1:5" x14ac:dyDescent="0.25">
      <c r="A6" s="115">
        <v>3</v>
      </c>
      <c r="B6" s="117" t="s">
        <v>202</v>
      </c>
      <c r="C6" s="119">
        <v>0</v>
      </c>
      <c r="D6" s="124"/>
      <c r="E6" s="118">
        <f t="shared" si="0"/>
        <v>0</v>
      </c>
    </row>
    <row r="7" spans="1:5" x14ac:dyDescent="0.25">
      <c r="A7" s="115">
        <v>4</v>
      </c>
      <c r="B7" s="116" t="s">
        <v>203</v>
      </c>
      <c r="C7" s="118">
        <v>0</v>
      </c>
      <c r="D7" s="124"/>
      <c r="E7" s="118">
        <f t="shared" si="0"/>
        <v>0</v>
      </c>
    </row>
    <row r="8" spans="1:5" x14ac:dyDescent="0.25">
      <c r="A8" s="115">
        <v>5</v>
      </c>
      <c r="B8" s="117" t="s">
        <v>204</v>
      </c>
      <c r="C8" s="119">
        <v>6945.87</v>
      </c>
      <c r="D8" s="124"/>
      <c r="E8" s="118">
        <f t="shared" si="0"/>
        <v>51659.209035954955</v>
      </c>
    </row>
    <row r="9" spans="1:5" x14ac:dyDescent="0.25">
      <c r="A9" s="115">
        <v>6</v>
      </c>
      <c r="B9" s="116" t="s">
        <v>205</v>
      </c>
      <c r="C9" s="118">
        <v>598340.80000000005</v>
      </c>
      <c r="D9" s="124"/>
      <c r="E9" s="118">
        <f>C9*$E$28</f>
        <v>4450099.4780985704</v>
      </c>
    </row>
    <row r="10" spans="1:5" ht="30" x14ac:dyDescent="0.25">
      <c r="A10" s="125">
        <v>7</v>
      </c>
      <c r="B10" s="126" t="s">
        <v>206</v>
      </c>
      <c r="C10" s="127">
        <v>686530.12</v>
      </c>
      <c r="D10" s="128"/>
      <c r="E10" s="127">
        <f t="shared" ref="E10:E16" si="1">C10*$E$28</f>
        <v>5105998.6695056548</v>
      </c>
    </row>
    <row r="11" spans="1:5" x14ac:dyDescent="0.25">
      <c r="A11" s="115">
        <v>8</v>
      </c>
      <c r="B11" s="116" t="s">
        <v>207</v>
      </c>
      <c r="C11" s="118">
        <v>28325.24</v>
      </c>
      <c r="D11" s="124"/>
      <c r="E11" s="118">
        <f t="shared" si="1"/>
        <v>210666.12161667191</v>
      </c>
    </row>
    <row r="12" spans="1:5" x14ac:dyDescent="0.25">
      <c r="A12" s="125">
        <v>9</v>
      </c>
      <c r="B12" s="129" t="s">
        <v>208</v>
      </c>
      <c r="C12" s="127">
        <f>SUM(C10:C11)</f>
        <v>714855.36</v>
      </c>
      <c r="D12" s="128"/>
      <c r="E12" s="127">
        <f>C12*$E$28</f>
        <v>5316664.7911223266</v>
      </c>
    </row>
    <row r="13" spans="1:5" x14ac:dyDescent="0.25">
      <c r="A13" s="115">
        <v>10</v>
      </c>
      <c r="B13" s="116" t="s">
        <v>209</v>
      </c>
      <c r="C13" s="118">
        <v>0</v>
      </c>
      <c r="D13" s="124"/>
      <c r="E13" s="118">
        <f t="shared" si="1"/>
        <v>0</v>
      </c>
    </row>
    <row r="14" spans="1:5" x14ac:dyDescent="0.25">
      <c r="A14" s="125">
        <v>11</v>
      </c>
      <c r="B14" s="126" t="s">
        <v>210</v>
      </c>
      <c r="C14" s="127">
        <f>C12-C13</f>
        <v>714855.36</v>
      </c>
      <c r="D14" s="128"/>
      <c r="E14" s="127">
        <f t="shared" si="1"/>
        <v>5316664.7911223266</v>
      </c>
    </row>
    <row r="15" spans="1:5" x14ac:dyDescent="0.25">
      <c r="A15" s="115">
        <v>12</v>
      </c>
      <c r="B15" s="116" t="s">
        <v>211</v>
      </c>
      <c r="C15" s="118">
        <v>0</v>
      </c>
      <c r="D15" s="124"/>
      <c r="E15" s="118">
        <f t="shared" si="1"/>
        <v>0</v>
      </c>
    </row>
    <row r="16" spans="1:5" x14ac:dyDescent="0.25">
      <c r="A16" s="130">
        <v>13</v>
      </c>
      <c r="B16" s="131" t="s">
        <v>212</v>
      </c>
      <c r="C16" s="132">
        <f>SUM(C14:C15)</f>
        <v>714855.36</v>
      </c>
      <c r="D16" s="128"/>
      <c r="E16" s="132">
        <f t="shared" si="1"/>
        <v>5316664.7911223266</v>
      </c>
    </row>
    <row r="17" spans="1:5" x14ac:dyDescent="0.25">
      <c r="C17" s="120"/>
      <c r="D17" s="120"/>
      <c r="E17" s="120"/>
    </row>
    <row r="18" spans="1:5" x14ac:dyDescent="0.25">
      <c r="C18" s="120"/>
      <c r="D18" s="120"/>
      <c r="E18" s="120"/>
    </row>
    <row r="19" spans="1:5" x14ac:dyDescent="0.25">
      <c r="C19" s="120"/>
      <c r="D19" s="120"/>
      <c r="E19" s="120"/>
    </row>
    <row r="20" spans="1:5" x14ac:dyDescent="0.25">
      <c r="A20" s="111"/>
      <c r="B20" s="112" t="s">
        <v>213</v>
      </c>
      <c r="C20" s="121" t="s">
        <v>198</v>
      </c>
      <c r="D20" s="120"/>
      <c r="E20" s="121" t="s">
        <v>199</v>
      </c>
    </row>
    <row r="21" spans="1:5" x14ac:dyDescent="0.25">
      <c r="A21" s="109" t="s">
        <v>160</v>
      </c>
      <c r="B21" s="109" t="s">
        <v>214</v>
      </c>
      <c r="C21" s="122">
        <v>458539.56</v>
      </c>
      <c r="D21" s="120"/>
      <c r="E21" s="118">
        <f t="shared" ref="E21:E24" si="2">C21*$E$28</f>
        <v>3410341.8263363424</v>
      </c>
    </row>
    <row r="22" spans="1:5" x14ac:dyDescent="0.25">
      <c r="A22" s="97" t="s">
        <v>160</v>
      </c>
      <c r="B22" s="97" t="s">
        <v>215</v>
      </c>
      <c r="C22" s="123">
        <v>58618.67</v>
      </c>
      <c r="D22" s="120"/>
      <c r="E22" s="118">
        <f t="shared" si="2"/>
        <v>435970.4582636389</v>
      </c>
    </row>
    <row r="23" spans="1:5" x14ac:dyDescent="0.25">
      <c r="A23" s="97" t="s">
        <v>216</v>
      </c>
      <c r="B23" s="97" t="s">
        <v>217</v>
      </c>
      <c r="C23" s="123">
        <v>103811</v>
      </c>
      <c r="D23" s="120"/>
      <c r="E23" s="118">
        <f t="shared" si="2"/>
        <v>772083.86411371361</v>
      </c>
    </row>
    <row r="24" spans="1:5" x14ac:dyDescent="0.25">
      <c r="A24" s="97" t="s">
        <v>216</v>
      </c>
      <c r="B24" s="97" t="s">
        <v>218</v>
      </c>
      <c r="C24" s="123">
        <f>C21+C22-C23</f>
        <v>413347.23</v>
      </c>
      <c r="D24" s="120"/>
      <c r="E24" s="118">
        <f t="shared" si="2"/>
        <v>3074228.4204862672</v>
      </c>
    </row>
    <row r="25" spans="1:5" x14ac:dyDescent="0.25">
      <c r="A25" s="130"/>
      <c r="B25" s="131" t="s">
        <v>219</v>
      </c>
      <c r="C25" s="132">
        <f>SUM(C21+C22-C23-C24)</f>
        <v>0</v>
      </c>
      <c r="D25" s="128"/>
      <c r="E25" s="132">
        <f>SUM(E21+E22-E23-E24)</f>
        <v>4.6566128730773926E-10</v>
      </c>
    </row>
    <row r="26" spans="1:5" x14ac:dyDescent="0.25">
      <c r="C26" s="110"/>
    </row>
    <row r="28" spans="1:5" x14ac:dyDescent="0.25">
      <c r="C28" s="134" t="s">
        <v>220</v>
      </c>
      <c r="D28" s="133"/>
      <c r="E28" s="5">
        <v>7.4373993518385682</v>
      </c>
    </row>
  </sheetData>
  <mergeCells count="1">
    <mergeCell ref="A1:E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headerFooter>
    <oddHeader>&amp;C&amp;F&amp;R&amp;A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F6A4EA8CD694A448AAF29FEB1A8F245" ma:contentTypeVersion="19" ma:contentTypeDescription="Opret et nyt dokument." ma:contentTypeScope="" ma:versionID="474f1ef26ca6fe656ab441211255eda4">
  <xsd:schema xmlns:xsd="http://www.w3.org/2001/XMLSchema" xmlns:xs="http://www.w3.org/2001/XMLSchema" xmlns:p="http://schemas.microsoft.com/office/2006/metadata/properties" xmlns:ns2="0a33e1fb-23dc-4222-ac46-473c6a01316b" xmlns:ns3="3b2effea-7677-426a-abfa-e08815e88a3e" targetNamespace="http://schemas.microsoft.com/office/2006/metadata/properties" ma:root="true" ma:fieldsID="1a372d689c6f8e7a019b9c64c2e0bb72" ns2:_="" ns3:_="">
    <xsd:import namespace="0a33e1fb-23dc-4222-ac46-473c6a01316b"/>
    <xsd:import namespace="3b2effea-7677-426a-abfa-e08815e88a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3e1fb-23dc-4222-ac46-473c6a0131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ledmærker" ma:readOnly="false" ma:fieldId="{5cf76f15-5ced-4ddc-b409-7134ff3c332f}" ma:taxonomyMulti="true" ma:sspId="c9f317a3-9525-4bf5-b194-1869bb4e85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2effea-7677-426a-abfa-e08815e88a3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839cca5-46db-42bf-aa82-13451054610f}" ma:internalName="TaxCatchAll" ma:showField="CatchAllData" ma:web="3b2effea-7677-426a-abfa-e08815e88a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2effea-7677-426a-abfa-e08815e88a3e" xsi:nil="true"/>
    <lcf76f155ced4ddcb4097134ff3c332f xmlns="0a33e1fb-23dc-4222-ac46-473c6a01316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FDCAB4-DB4E-4749-BE04-BD35D6E1C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33e1fb-23dc-4222-ac46-473c6a01316b"/>
    <ds:schemaRef ds:uri="3b2effea-7677-426a-abfa-e08815e88a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42A856-ACF3-4CC5-8FCA-1477E63E1039}">
  <ds:schemaRefs>
    <ds:schemaRef ds:uri="http://schemas.microsoft.com/office/2006/metadata/properties"/>
    <ds:schemaRef ds:uri="http://schemas.microsoft.com/office/infopath/2007/PartnerControls"/>
    <ds:schemaRef ds:uri="3b2effea-7677-426a-abfa-e08815e88a3e"/>
    <ds:schemaRef ds:uri="0a33e1fb-23dc-4222-ac46-473c6a01316b"/>
  </ds:schemaRefs>
</ds:datastoreItem>
</file>

<file path=customXml/itemProps3.xml><?xml version="1.0" encoding="utf-8"?>
<ds:datastoreItem xmlns:ds="http://schemas.openxmlformats.org/officeDocument/2006/customXml" ds:itemID="{B74E7FCA-0C65-41BE-B597-F9B871DA0F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8</vt:i4>
      </vt:variant>
      <vt:variant>
        <vt:lpstr>Navngivne områder</vt:lpstr>
      </vt:variant>
      <vt:variant>
        <vt:i4>13</vt:i4>
      </vt:variant>
    </vt:vector>
  </HeadingPairs>
  <TitlesOfParts>
    <vt:vector size="21" baseType="lpstr">
      <vt:lpstr>RESULTAT</vt:lpstr>
      <vt:lpstr>BALANCE</vt:lpstr>
      <vt:lpstr>CISU Note 1</vt:lpstr>
      <vt:lpstr>CSP Note 2(A)</vt:lpstr>
      <vt:lpstr>CSP Note 2(B)</vt:lpstr>
      <vt:lpstr>DERF 2 Note 3</vt:lpstr>
      <vt:lpstr>OPEN Note 4</vt:lpstr>
      <vt:lpstr>CONN Note 5</vt:lpstr>
      <vt:lpstr>BALANCE!Print_Area</vt:lpstr>
      <vt:lpstr>'CISU Note 1'!Print_Area</vt:lpstr>
      <vt:lpstr>'CSP Note 2(B)'!Print_Area</vt:lpstr>
      <vt:lpstr>'OPEN Note 4'!Print_Area</vt:lpstr>
      <vt:lpstr>RESULTAT!Print_Area</vt:lpstr>
      <vt:lpstr>BALANCE!Udskriftsområde</vt:lpstr>
      <vt:lpstr>'CISU Note 1'!Udskriftsområde</vt:lpstr>
      <vt:lpstr>'CONN Note 5'!Udskriftsområde</vt:lpstr>
      <vt:lpstr>'CSP Note 2(A)'!Udskriftsområde</vt:lpstr>
      <vt:lpstr>'CSP Note 2(B)'!Udskriftsområde</vt:lpstr>
      <vt:lpstr>'OPEN Note 4'!Udskriftsområde</vt:lpstr>
      <vt:lpstr>RESULTAT!Udskriftsområde</vt:lpstr>
      <vt:lpstr>'CSP Note 2(B)'!Udskriftstitler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Bolette Kornum</dc:creator>
  <cp:keywords/>
  <dc:description/>
  <cp:lastModifiedBy>Bolette Kornum</cp:lastModifiedBy>
  <cp:revision/>
  <dcterms:created xsi:type="dcterms:W3CDTF">2016-02-19T16:02:20Z</dcterms:created>
  <dcterms:modified xsi:type="dcterms:W3CDTF">2026-03-11T09:57:45Z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\	;	;	{	}	[@[{0}]]	1030	1030</vt:lpwstr>
  </property>
  <property fmtid="{D5CDD505-2E9C-101B-9397-08002B2CF9AE}" pid="3" name="ContentTypeId">
    <vt:lpwstr>0x010100DF6A4EA8CD694A448AAF29FEB1A8F245</vt:lpwstr>
  </property>
  <property fmtid="{D5CDD505-2E9C-101B-9397-08002B2CF9AE}" pid="4" name="Order">
    <vt:r8>7659800</vt:r8>
  </property>
  <property fmtid="{D5CDD505-2E9C-101B-9397-08002B2CF9AE}" pid="5" name="MediaServiceImageTags">
    <vt:lpwstr/>
  </property>
</Properties>
</file>